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5" windowWidth="18195" windowHeight="10800" tabRatio="798"/>
  </bookViews>
  <sheets>
    <sheet name="RAP-NATURAL GAS PRICES" sheetId="1" r:id="rId1"/>
    <sheet name="RAP TEMPLATE-GAS AVAILABILITY" sheetId="2" r:id="rId2"/>
    <sheet name="RAP-HEAVY &amp; LIGHT OIL &amp; WTI" sheetId="3" r:id="rId3"/>
    <sheet name="RAP-SOLID FUEL PRICES" sheetId="4" r:id="rId4"/>
    <sheet name="CONTR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[1]HISTORY!#REF!</definedName>
    <definedName name="__123Graph_A" localSheetId="1" hidden="1">'[2]FPL MOST LIKELY GAS BACKUP 1'!#REF!</definedName>
    <definedName name="__123Graph_A" hidden="1">'[2]FPL MOST LIKELY GAS BACKUP 1'!#REF!</definedName>
    <definedName name="__123Graph_B" localSheetId="1" hidden="1">'[2]FPL MOST LIKELY GAS BACKUP 1'!#REF!</definedName>
    <definedName name="__123Graph_B" hidden="1">'[2]FPL MOST LIKELY GAS BACKUP 1'!#REF!</definedName>
    <definedName name="__123Graph_X" localSheetId="1" hidden="1">'[2]FPL MOST LIKELY GAS BACKUP 1'!#REF!</definedName>
    <definedName name="__123Graph_X" hidden="1">'[2]FPL MOST LIKELY GAS BACKUP 1'!#REF!</definedName>
    <definedName name="_1" localSheetId="1">#REF!</definedName>
    <definedName name="_1">#REF!</definedName>
    <definedName name="_1A" localSheetId="1">#REF!</definedName>
    <definedName name="_1A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394GAS" localSheetId="1">#REF!</definedName>
    <definedName name="_9394GAS">#REF!</definedName>
    <definedName name="_9394OIL" localSheetId="1">#REF!</definedName>
    <definedName name="_9394OIL">#REF!</definedName>
    <definedName name="_C1" localSheetId="1">#REF!</definedName>
    <definedName name="_C1">#REF!</definedName>
    <definedName name="_GIP1" localSheetId="1">#REF!</definedName>
    <definedName name="_GIP1">#REF!</definedName>
    <definedName name="_SYP1" localSheetId="1">#REF!</definedName>
    <definedName name="_SYP1">#REF!</definedName>
    <definedName name="C_" localSheetId="1">#REF!</definedName>
    <definedName name="C_">#REF!</definedName>
    <definedName name="CC1_" localSheetId="1">#REF!</definedName>
    <definedName name="CC1_">#REF!</definedName>
    <definedName name="COMPET" localSheetId="1">#REF!</definedName>
    <definedName name="COMPET">#REF!</definedName>
    <definedName name="CopyXC" localSheetId="1">#REF!</definedName>
    <definedName name="CopyXC">#REF!</definedName>
    <definedName name="DatabaseNameCopy" localSheetId="1">#REF!</definedName>
    <definedName name="DatabaseNameCopy">#REF!</definedName>
    <definedName name="DatabaseNameDG" localSheetId="1">#REF!</definedName>
    <definedName name="DatabaseNameDG">#REF!</definedName>
    <definedName name="DateColumn" localSheetId="1">[3]_Setup_!#REF!</definedName>
    <definedName name="DateColumn">[3]_Setup_!#REF!</definedName>
    <definedName name="DestColRowXC" localSheetId="1">#REF!</definedName>
    <definedName name="DestColRowXC">#REF!</definedName>
    <definedName name="DestDBname" localSheetId="1">#REF!</definedName>
    <definedName name="DestDBname">#REF!</definedName>
    <definedName name="DestHdrRowColXC" localSheetId="1">#REF!</definedName>
    <definedName name="DestHdrRowColXC">#REF!</definedName>
    <definedName name="DestLayoutXC" localSheetId="1">#REF!</definedName>
    <definedName name="DestLayoutXC">#REF!</definedName>
    <definedName name="DestRowColXC" localSheetId="1">#REF!</definedName>
    <definedName name="DestRowColXC">#REF!</definedName>
    <definedName name="DestStudyName" localSheetId="1">#REF!</definedName>
    <definedName name="DestStudyName">#REF!</definedName>
    <definedName name="DestStudyNameCopy" localSheetId="1">#REF!</definedName>
    <definedName name="DestStudyNameCopy">#REF!</definedName>
    <definedName name="DestUserName" localSheetId="1">#REF!</definedName>
    <definedName name="DestUserName">#REF!</definedName>
    <definedName name="DestWorksheetXC" localSheetId="1">#REF!</definedName>
    <definedName name="DestWorksheetXC">#REF!</definedName>
    <definedName name="EffectiveDate" localSheetId="1">[3]_Setup_!#REF!</definedName>
    <definedName name="EffectiveDate">[3]_Setup_!#REF!</definedName>
    <definedName name="FIRM" localSheetId="1">#REF!</definedName>
    <definedName name="FIRM">#REF!</definedName>
    <definedName name="FIRM1" localSheetId="1">#REF!</definedName>
    <definedName name="FIRM1">#REF!</definedName>
    <definedName name="GAS" localSheetId="1">#REF!</definedName>
    <definedName name="GAS">#REF!</definedName>
    <definedName name="GASAVAIL" localSheetId="1">#REF!</definedName>
    <definedName name="GASAVAIL">#REF!</definedName>
    <definedName name="GIP" localSheetId="1">#REF!</definedName>
    <definedName name="GIP">#REF!</definedName>
    <definedName name="HeaderXC" localSheetId="1">#REF!</definedName>
    <definedName name="HeaderXC">#REF!</definedName>
    <definedName name="I5_" localSheetId="1">#REF!</definedName>
    <definedName name="I5_">#REF!</definedName>
    <definedName name="I6_" localSheetId="1">#REF!</definedName>
    <definedName name="I6_">#REF!</definedName>
    <definedName name="I7_" localSheetId="1">#REF!</definedName>
    <definedName name="I7_">#REF!</definedName>
    <definedName name="ImportListDG" localSheetId="1">#REF!</definedName>
    <definedName name="ImportListDG">#REF!</definedName>
    <definedName name="INDEXDATA">'[4]Index-Data'!$A$2:$CG$68</definedName>
    <definedName name="INFLAT" localSheetId="1">#REF!</definedName>
    <definedName name="INFLAT">#REF!</definedName>
    <definedName name="LayoutXC" localSheetId="1">#REF!</definedName>
    <definedName name="LayoutXC">#REF!</definedName>
    <definedName name="Messages" localSheetId="1">[5]_UnregulatedCurves_!#REF!</definedName>
    <definedName name="Messages">[5]_UnregulatedCurves_!#REF!</definedName>
    <definedName name="MessagesDG" localSheetId="1">#REF!</definedName>
    <definedName name="MessagesDG">#REF!</definedName>
    <definedName name="MessagesDW" localSheetId="1">[5]_UnregulatedCurves_!#REF!</definedName>
    <definedName name="MessagesDW">[5]_UnregulatedCurves_!#REF!</definedName>
    <definedName name="MONTH" localSheetId="1">#REF!</definedName>
    <definedName name="MONTH">#REF!</definedName>
    <definedName name="MONTH1" localSheetId="1">#REF!</definedName>
    <definedName name="MONTH1">#REF!</definedName>
    <definedName name="MONTHID">'[4]Misc-Data'!$A$2:$F$85</definedName>
    <definedName name="MONTHS2" localSheetId="1">#REF!</definedName>
    <definedName name="MONTHS2">#REF!</definedName>
    <definedName name="MONTHS3" localSheetId="1">#REF!</definedName>
    <definedName name="MONTHS3">#REF!</definedName>
    <definedName name="MONTHS4" localSheetId="1">#REF!</definedName>
    <definedName name="MONTHS4">#REF!</definedName>
    <definedName name="MONTHS5" localSheetId="1">#REF!</definedName>
    <definedName name="MONTHS5">#REF!</definedName>
    <definedName name="MONTHS6" localSheetId="1">#REF!</definedName>
    <definedName name="MONTHS6">#REF!</definedName>
    <definedName name="MONTHS7" localSheetId="1">#REF!</definedName>
    <definedName name="MONTHS7">#REF!</definedName>
    <definedName name="OIPBBL" localSheetId="1">#REF!</definedName>
    <definedName name="OIPBBL">#REF!</definedName>
    <definedName name="OIPBBL1" localSheetId="1">#REF!</definedName>
    <definedName name="OIPBBL1">#REF!</definedName>
    <definedName name="PasswordCopy" localSheetId="1">#REF!</definedName>
    <definedName name="PasswordCopy">#REF!</definedName>
    <definedName name="PasswordDG" localSheetId="1">#REF!</definedName>
    <definedName name="PasswordDG">#REF!</definedName>
    <definedName name="PHASEII" localSheetId="1">#REF!</definedName>
    <definedName name="PHASEII">#REF!</definedName>
    <definedName name="PHASEII1" localSheetId="1">#REF!</definedName>
    <definedName name="PHASEII1">#REF!</definedName>
    <definedName name="PHASEIII" localSheetId="1">#REF!</definedName>
    <definedName name="PHASEIII">#REF!</definedName>
    <definedName name="PHASEIII1" localSheetId="1">#REF!</definedName>
    <definedName name="PHASEIII1">#REF!</definedName>
    <definedName name="pipedes">'[4]Misc-Data'!$D$2:$F$69</definedName>
    <definedName name="PRINT">#N/A</definedName>
    <definedName name="_xlnm.Print_Area" localSheetId="1">'RAP TEMPLATE-GAS AVAILABILITY'!$A$17:$J$1136</definedName>
    <definedName name="_xlnm.Print_Area" localSheetId="2">'RAP-HEAVY &amp; LIGHT OIL &amp; WTI'!$A$17:$I$1136</definedName>
    <definedName name="_xlnm.Print_Area" localSheetId="0">'RAP-NATURAL GAS PRICES'!$A$17:$S$1136</definedName>
    <definedName name="_xlnm.Print_Area" localSheetId="3">'RAP-SOLID FUEL PRICES'!$A$17:$K$1136</definedName>
    <definedName name="_xlnm.Print_Titles" localSheetId="1">'RAP TEMPLATE-GAS AVAILABILITY'!$1:$16</definedName>
    <definedName name="_xlnm.Print_Titles" localSheetId="2">'RAP-HEAVY &amp; LIGHT OIL &amp; WTI'!$1:$16</definedName>
    <definedName name="_xlnm.Print_Titles" localSheetId="0">'RAP-NATURAL GAS PRICES'!$1:$16</definedName>
    <definedName name="_xlnm.Print_Titles" localSheetId="3">'RAP-SOLID FUEL PRICES'!$1:$16</definedName>
    <definedName name="RESULTS" localSheetId="1">#REF!</definedName>
    <definedName name="RESULTS">#REF!</definedName>
    <definedName name="RESULTS1" localSheetId="1">#REF!</definedName>
    <definedName name="RESULTS1">#REF!</definedName>
    <definedName name="RESULTS2" localSheetId="1">#REF!</definedName>
    <definedName name="RESULTS2">#REF!</definedName>
    <definedName name="RESULTS3" localSheetId="1">#REF!</definedName>
    <definedName name="RESULTS3">#REF!</definedName>
    <definedName name="RESULTS4" localSheetId="1">#REF!</definedName>
    <definedName name="RESULTS4">#REF!</definedName>
    <definedName name="RESULTSA" localSheetId="1">#REF!</definedName>
    <definedName name="RESULTSA">#REF!</definedName>
    <definedName name="RowStart" localSheetId="1">[3]_Setup_!#REF!</definedName>
    <definedName name="RowStart">[3]_Setup_!#REF!</definedName>
    <definedName name="SelectListCopy" localSheetId="1">#REF!</definedName>
    <definedName name="SelectListCopy">#REF!</definedName>
    <definedName name="SFOR" localSheetId="1">#REF!</definedName>
    <definedName name="SFOR">#REF!</definedName>
    <definedName name="SFOR1" localSheetId="1">#REF!</definedName>
    <definedName name="SFOR1">#REF!</definedName>
    <definedName name="SourceDBname" localSheetId="1">#REF!</definedName>
    <definedName name="SourceDBname">#REF!</definedName>
    <definedName name="SourceStudyName" localSheetId="1">#REF!</definedName>
    <definedName name="SourceStudyName">#REF!</definedName>
    <definedName name="SourceStudyNameCopy" localSheetId="1">#REF!</definedName>
    <definedName name="SourceStudyNameCopy">#REF!</definedName>
    <definedName name="SourceUserName" localSheetId="1">#REF!</definedName>
    <definedName name="SourceUserName">#REF!</definedName>
    <definedName name="SrcColRowXC" localSheetId="1">#REF!</definedName>
    <definedName name="SrcColRowXC">#REF!</definedName>
    <definedName name="SrcFileXC" localSheetId="1">#REF!</definedName>
    <definedName name="SrcFileXC">#REF!</definedName>
    <definedName name="SrcStartRowColXC" localSheetId="1">#REF!</definedName>
    <definedName name="SrcStartRowColXC">#REF!</definedName>
    <definedName name="SrcWorksheetXC" localSheetId="1">#REF!</definedName>
    <definedName name="SrcWorksheetXC">#REF!</definedName>
    <definedName name="StatusCopy" localSheetId="1">#REF!</definedName>
    <definedName name="StatusCopy">#REF!</definedName>
    <definedName name="StatusDG" localSheetId="1">#REF!</definedName>
    <definedName name="StatusDG">#REF!</definedName>
    <definedName name="StatusXC" localSheetId="1">#REF!</definedName>
    <definedName name="StatusXC">#REF!</definedName>
    <definedName name="StudyNameDG" localSheetId="1">#REF!</definedName>
    <definedName name="StudyNameDG">#REF!</definedName>
    <definedName name="SYP" localSheetId="1">#REF!</definedName>
    <definedName name="SYP">#REF!</definedName>
    <definedName name="SYSGAS" localSheetId="1">#REF!</definedName>
    <definedName name="SYSGAS">#REF!</definedName>
    <definedName name="test" hidden="1">'[2]FPL MOST LIKELY GAS BACKUP 1'!#REF!</definedName>
    <definedName name="TITLES" localSheetId="1">#REF!</definedName>
    <definedName name="TITLES">#REF!</definedName>
    <definedName name="TOBBL" localSheetId="1">#REF!</definedName>
    <definedName name="TOBBL">#REF!</definedName>
    <definedName name="TotalRowColXC" localSheetId="1">#REF!</definedName>
    <definedName name="TotalRowColXC">#REF!</definedName>
    <definedName name="TransferListDG" localSheetId="1">#REF!</definedName>
    <definedName name="TransferListDG">#REF!</definedName>
    <definedName name="TTG" localSheetId="1">#REF!</definedName>
    <definedName name="TTG">#REF!</definedName>
    <definedName name="UserNameCopy" localSheetId="1">#REF!</definedName>
    <definedName name="UserNameCopy">#REF!</definedName>
    <definedName name="UserNameDG" localSheetId="1">#REF!</definedName>
    <definedName name="UserNameDG">#REF!</definedName>
    <definedName name="VOLUMES" localSheetId="1">#REF!</definedName>
    <definedName name="VOLUMES">#REF!</definedName>
    <definedName name="VOLUMES1" localSheetId="1">#REF!</definedName>
    <definedName name="VOLUMES1">#REF!</definedName>
    <definedName name="YEAR" localSheetId="1">#REF!</definedName>
    <definedName name="YEAR">#REF!</definedName>
    <definedName name="YEARS" localSheetId="1">#REF!</definedName>
    <definedName name="YEARS">#REF!</definedName>
  </definedNames>
  <calcPr calcId="145621" calcMode="manual"/>
</workbook>
</file>

<file path=xl/calcChain.xml><?xml version="1.0" encoding="utf-8"?>
<calcChain xmlns="http://schemas.openxmlformats.org/spreadsheetml/2006/main">
  <c r="C13" i="4" l="1"/>
  <c r="E13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E275" i="4"/>
  <c r="F275" i="4"/>
  <c r="G275" i="4"/>
  <c r="H275" i="4"/>
  <c r="I275" i="4"/>
  <c r="J275" i="4"/>
  <c r="K275" i="4"/>
  <c r="B276" i="4"/>
  <c r="C276" i="4"/>
  <c r="D276" i="4"/>
  <c r="E276" i="4"/>
  <c r="F276" i="4"/>
  <c r="G276" i="4"/>
  <c r="H276" i="4"/>
  <c r="I276" i="4"/>
  <c r="J276" i="4"/>
  <c r="K276" i="4"/>
  <c r="B277" i="4"/>
  <c r="C277" i="4"/>
  <c r="D277" i="4"/>
  <c r="E277" i="4"/>
  <c r="F277" i="4"/>
  <c r="G277" i="4"/>
  <c r="H277" i="4"/>
  <c r="I277" i="4"/>
  <c r="J277" i="4"/>
  <c r="K277" i="4"/>
  <c r="B278" i="4"/>
  <c r="C278" i="4"/>
  <c r="D278" i="4"/>
  <c r="E278" i="4"/>
  <c r="F278" i="4"/>
  <c r="G278" i="4"/>
  <c r="H278" i="4"/>
  <c r="I278" i="4"/>
  <c r="J278" i="4"/>
  <c r="K278" i="4"/>
  <c r="B279" i="4"/>
  <c r="C279" i="4"/>
  <c r="D279" i="4"/>
  <c r="E279" i="4"/>
  <c r="F279" i="4"/>
  <c r="G279" i="4"/>
  <c r="H279" i="4"/>
  <c r="I279" i="4"/>
  <c r="J279" i="4"/>
  <c r="K279" i="4"/>
  <c r="B280" i="4"/>
  <c r="C280" i="4"/>
  <c r="D280" i="4"/>
  <c r="E280" i="4"/>
  <c r="F280" i="4"/>
  <c r="G280" i="4"/>
  <c r="H280" i="4"/>
  <c r="I280" i="4"/>
  <c r="J280" i="4"/>
  <c r="K280" i="4"/>
  <c r="B281" i="4"/>
  <c r="C281" i="4"/>
  <c r="D281" i="4"/>
  <c r="E281" i="4"/>
  <c r="F281" i="4"/>
  <c r="G281" i="4"/>
  <c r="H281" i="4"/>
  <c r="I281" i="4"/>
  <c r="J281" i="4"/>
  <c r="K281" i="4"/>
  <c r="B282" i="4"/>
  <c r="C282" i="4"/>
  <c r="D282" i="4"/>
  <c r="E282" i="4"/>
  <c r="F282" i="4"/>
  <c r="G282" i="4"/>
  <c r="H282" i="4"/>
  <c r="I282" i="4"/>
  <c r="J282" i="4"/>
  <c r="K282" i="4"/>
  <c r="B283" i="4"/>
  <c r="C283" i="4"/>
  <c r="D283" i="4"/>
  <c r="E283" i="4"/>
  <c r="F283" i="4"/>
  <c r="G283" i="4"/>
  <c r="H283" i="4"/>
  <c r="I283" i="4"/>
  <c r="J283" i="4"/>
  <c r="K283" i="4"/>
  <c r="B284" i="4"/>
  <c r="C284" i="4"/>
  <c r="D284" i="4"/>
  <c r="E284" i="4"/>
  <c r="F284" i="4"/>
  <c r="G284" i="4"/>
  <c r="H284" i="4"/>
  <c r="I284" i="4"/>
  <c r="J284" i="4"/>
  <c r="K284" i="4"/>
  <c r="B285" i="4"/>
  <c r="C285" i="4"/>
  <c r="D285" i="4"/>
  <c r="E285" i="4"/>
  <c r="F285" i="4"/>
  <c r="G285" i="4"/>
  <c r="H285" i="4"/>
  <c r="I285" i="4"/>
  <c r="J285" i="4"/>
  <c r="K285" i="4"/>
  <c r="B286" i="4"/>
  <c r="C286" i="4"/>
  <c r="D286" i="4"/>
  <c r="E286" i="4"/>
  <c r="F286" i="4"/>
  <c r="G286" i="4"/>
  <c r="H286" i="4"/>
  <c r="I286" i="4"/>
  <c r="J286" i="4"/>
  <c r="K286" i="4"/>
  <c r="B287" i="4"/>
  <c r="C287" i="4"/>
  <c r="D287" i="4"/>
  <c r="E287" i="4"/>
  <c r="F287" i="4"/>
  <c r="G287" i="4"/>
  <c r="H287" i="4"/>
  <c r="I287" i="4"/>
  <c r="J287" i="4"/>
  <c r="K287" i="4"/>
  <c r="B288" i="4"/>
  <c r="C288" i="4"/>
  <c r="D288" i="4"/>
  <c r="E288" i="4"/>
  <c r="F288" i="4"/>
  <c r="G288" i="4"/>
  <c r="H288" i="4"/>
  <c r="I288" i="4"/>
  <c r="J288" i="4"/>
  <c r="K288" i="4"/>
  <c r="B289" i="4"/>
  <c r="C289" i="4"/>
  <c r="D289" i="4"/>
  <c r="E289" i="4"/>
  <c r="F289" i="4"/>
  <c r="G289" i="4"/>
  <c r="H289" i="4"/>
  <c r="I289" i="4"/>
  <c r="J289" i="4"/>
  <c r="K289" i="4"/>
  <c r="B290" i="4"/>
  <c r="C290" i="4"/>
  <c r="D290" i="4"/>
  <c r="E290" i="4"/>
  <c r="F290" i="4"/>
  <c r="G290" i="4"/>
  <c r="H290" i="4"/>
  <c r="I290" i="4"/>
  <c r="J290" i="4"/>
  <c r="K290" i="4"/>
  <c r="B291" i="4"/>
  <c r="C291" i="4"/>
  <c r="D291" i="4"/>
  <c r="E291" i="4"/>
  <c r="F291" i="4"/>
  <c r="G291" i="4"/>
  <c r="H291" i="4"/>
  <c r="I291" i="4"/>
  <c r="J291" i="4"/>
  <c r="K291" i="4"/>
  <c r="B292" i="4"/>
  <c r="C292" i="4"/>
  <c r="D292" i="4"/>
  <c r="E292" i="4"/>
  <c r="F292" i="4"/>
  <c r="G292" i="4"/>
  <c r="H292" i="4"/>
  <c r="I292" i="4"/>
  <c r="J292" i="4"/>
  <c r="K292" i="4"/>
  <c r="B293" i="4"/>
  <c r="C293" i="4"/>
  <c r="D293" i="4"/>
  <c r="E293" i="4"/>
  <c r="F293" i="4"/>
  <c r="G293" i="4"/>
  <c r="H293" i="4"/>
  <c r="I293" i="4"/>
  <c r="J293" i="4"/>
  <c r="K293" i="4"/>
  <c r="B294" i="4"/>
  <c r="C294" i="4"/>
  <c r="D294" i="4"/>
  <c r="E294" i="4"/>
  <c r="F294" i="4"/>
  <c r="G294" i="4"/>
  <c r="H294" i="4"/>
  <c r="I294" i="4"/>
  <c r="J294" i="4"/>
  <c r="K294" i="4"/>
  <c r="B295" i="4"/>
  <c r="C295" i="4"/>
  <c r="D295" i="4"/>
  <c r="E295" i="4"/>
  <c r="F295" i="4"/>
  <c r="G295" i="4"/>
  <c r="H295" i="4"/>
  <c r="I295" i="4"/>
  <c r="J295" i="4"/>
  <c r="K295" i="4"/>
  <c r="B296" i="4"/>
  <c r="C296" i="4"/>
  <c r="D296" i="4"/>
  <c r="E296" i="4"/>
  <c r="F296" i="4"/>
  <c r="G296" i="4"/>
  <c r="H296" i="4"/>
  <c r="I296" i="4"/>
  <c r="J296" i="4"/>
  <c r="K296" i="4"/>
  <c r="B297" i="4"/>
  <c r="C297" i="4"/>
  <c r="D297" i="4"/>
  <c r="E297" i="4"/>
  <c r="F297" i="4"/>
  <c r="G297" i="4"/>
  <c r="H297" i="4"/>
  <c r="I297" i="4"/>
  <c r="J297" i="4"/>
  <c r="K297" i="4"/>
  <c r="B298" i="4"/>
  <c r="C298" i="4"/>
  <c r="D298" i="4"/>
  <c r="E298" i="4"/>
  <c r="F298" i="4"/>
  <c r="G298" i="4"/>
  <c r="H298" i="4"/>
  <c r="I298" i="4"/>
  <c r="J298" i="4"/>
  <c r="K298" i="4"/>
  <c r="B299" i="4"/>
  <c r="C299" i="4"/>
  <c r="D299" i="4"/>
  <c r="E299" i="4"/>
  <c r="F299" i="4"/>
  <c r="G299" i="4"/>
  <c r="H299" i="4"/>
  <c r="I299" i="4"/>
  <c r="J299" i="4"/>
  <c r="K299" i="4"/>
  <c r="B300" i="4"/>
  <c r="C300" i="4"/>
  <c r="D300" i="4"/>
  <c r="E300" i="4"/>
  <c r="F300" i="4"/>
  <c r="G300" i="4"/>
  <c r="H300" i="4"/>
  <c r="I300" i="4"/>
  <c r="J300" i="4"/>
  <c r="K300" i="4"/>
  <c r="B301" i="4"/>
  <c r="C301" i="4"/>
  <c r="D301" i="4"/>
  <c r="E301" i="4"/>
  <c r="F301" i="4"/>
  <c r="G301" i="4"/>
  <c r="H301" i="4"/>
  <c r="I301" i="4"/>
  <c r="J301" i="4"/>
  <c r="K301" i="4"/>
  <c r="B302" i="4"/>
  <c r="C302" i="4"/>
  <c r="D302" i="4"/>
  <c r="E302" i="4"/>
  <c r="F302" i="4"/>
  <c r="G302" i="4"/>
  <c r="H302" i="4"/>
  <c r="I302" i="4"/>
  <c r="J302" i="4"/>
  <c r="K302" i="4"/>
  <c r="B303" i="4"/>
  <c r="C303" i="4"/>
  <c r="D303" i="4"/>
  <c r="E303" i="4"/>
  <c r="F303" i="4"/>
  <c r="G303" i="4"/>
  <c r="H303" i="4"/>
  <c r="I303" i="4"/>
  <c r="J303" i="4"/>
  <c r="K303" i="4"/>
  <c r="B304" i="4"/>
  <c r="C304" i="4"/>
  <c r="D304" i="4"/>
  <c r="E304" i="4"/>
  <c r="F304" i="4"/>
  <c r="G304" i="4"/>
  <c r="H304" i="4"/>
  <c r="I304" i="4"/>
  <c r="J304" i="4"/>
  <c r="K304" i="4"/>
  <c r="B305" i="4"/>
  <c r="C305" i="4"/>
  <c r="D305" i="4"/>
  <c r="E305" i="4"/>
  <c r="F305" i="4"/>
  <c r="G305" i="4"/>
  <c r="H305" i="4"/>
  <c r="I305" i="4"/>
  <c r="J305" i="4"/>
  <c r="K305" i="4"/>
  <c r="B306" i="4"/>
  <c r="C306" i="4"/>
  <c r="D306" i="4"/>
  <c r="E306" i="4"/>
  <c r="F306" i="4"/>
  <c r="G306" i="4"/>
  <c r="H306" i="4"/>
  <c r="I306" i="4"/>
  <c r="J306" i="4"/>
  <c r="K306" i="4"/>
  <c r="B307" i="4"/>
  <c r="C307" i="4"/>
  <c r="D307" i="4"/>
  <c r="E307" i="4"/>
  <c r="F307" i="4"/>
  <c r="G307" i="4"/>
  <c r="H307" i="4"/>
  <c r="I307" i="4"/>
  <c r="J307" i="4"/>
  <c r="K307" i="4"/>
  <c r="B308" i="4"/>
  <c r="C308" i="4"/>
  <c r="D308" i="4"/>
  <c r="E308" i="4"/>
  <c r="F308" i="4"/>
  <c r="G308" i="4"/>
  <c r="H308" i="4"/>
  <c r="I308" i="4"/>
  <c r="J308" i="4"/>
  <c r="K308" i="4"/>
  <c r="B309" i="4"/>
  <c r="C309" i="4"/>
  <c r="D309" i="4"/>
  <c r="E309" i="4"/>
  <c r="F309" i="4"/>
  <c r="G309" i="4"/>
  <c r="H309" i="4"/>
  <c r="I309" i="4"/>
  <c r="J309" i="4"/>
  <c r="K309" i="4"/>
  <c r="B310" i="4"/>
  <c r="C310" i="4"/>
  <c r="D310" i="4"/>
  <c r="E310" i="4"/>
  <c r="F310" i="4"/>
  <c r="G310" i="4"/>
  <c r="H310" i="4"/>
  <c r="I310" i="4"/>
  <c r="J310" i="4"/>
  <c r="K310" i="4"/>
  <c r="B311" i="4"/>
  <c r="C311" i="4"/>
  <c r="D311" i="4"/>
  <c r="E311" i="4"/>
  <c r="F311" i="4"/>
  <c r="G311" i="4"/>
  <c r="H311" i="4"/>
  <c r="I311" i="4"/>
  <c r="J311" i="4"/>
  <c r="K311" i="4"/>
  <c r="B312" i="4"/>
  <c r="C312" i="4"/>
  <c r="D312" i="4"/>
  <c r="E312" i="4"/>
  <c r="F312" i="4"/>
  <c r="G312" i="4"/>
  <c r="H312" i="4"/>
  <c r="I312" i="4"/>
  <c r="J312" i="4"/>
  <c r="K312" i="4"/>
  <c r="B313" i="4"/>
  <c r="C313" i="4"/>
  <c r="D313" i="4"/>
  <c r="E313" i="4"/>
  <c r="F313" i="4"/>
  <c r="G313" i="4"/>
  <c r="H313" i="4"/>
  <c r="I313" i="4"/>
  <c r="J313" i="4"/>
  <c r="K313" i="4"/>
  <c r="B314" i="4"/>
  <c r="C314" i="4"/>
  <c r="D314" i="4"/>
  <c r="E314" i="4"/>
  <c r="F314" i="4"/>
  <c r="G314" i="4"/>
  <c r="H314" i="4"/>
  <c r="I314" i="4"/>
  <c r="J314" i="4"/>
  <c r="K314" i="4"/>
  <c r="B315" i="4"/>
  <c r="C315" i="4"/>
  <c r="D315" i="4"/>
  <c r="E315" i="4"/>
  <c r="F315" i="4"/>
  <c r="G315" i="4"/>
  <c r="H315" i="4"/>
  <c r="I315" i="4"/>
  <c r="J315" i="4"/>
  <c r="K315" i="4"/>
  <c r="B316" i="4"/>
  <c r="C316" i="4"/>
  <c r="D316" i="4"/>
  <c r="E316" i="4"/>
  <c r="F316" i="4"/>
  <c r="G316" i="4"/>
  <c r="H316" i="4"/>
  <c r="I316" i="4"/>
  <c r="J316" i="4"/>
  <c r="K316" i="4"/>
  <c r="B317" i="4"/>
  <c r="C317" i="4"/>
  <c r="D317" i="4"/>
  <c r="E317" i="4"/>
  <c r="F317" i="4"/>
  <c r="G317" i="4"/>
  <c r="H317" i="4"/>
  <c r="I317" i="4"/>
  <c r="J317" i="4"/>
  <c r="K317" i="4"/>
  <c r="B318" i="4"/>
  <c r="C318" i="4"/>
  <c r="D318" i="4"/>
  <c r="E318" i="4"/>
  <c r="F318" i="4"/>
  <c r="G318" i="4"/>
  <c r="H318" i="4"/>
  <c r="I318" i="4"/>
  <c r="J318" i="4"/>
  <c r="K318" i="4"/>
  <c r="B319" i="4"/>
  <c r="C319" i="4"/>
  <c r="D319" i="4"/>
  <c r="E319" i="4"/>
  <c r="F319" i="4"/>
  <c r="G319" i="4"/>
  <c r="H319" i="4"/>
  <c r="I319" i="4"/>
  <c r="J319" i="4"/>
  <c r="K319" i="4"/>
  <c r="B320" i="4"/>
  <c r="C320" i="4"/>
  <c r="D320" i="4"/>
  <c r="E320" i="4"/>
  <c r="F320" i="4"/>
  <c r="G320" i="4"/>
  <c r="H320" i="4"/>
  <c r="I320" i="4"/>
  <c r="J320" i="4"/>
  <c r="K320" i="4"/>
  <c r="B321" i="4"/>
  <c r="C321" i="4"/>
  <c r="D321" i="4"/>
  <c r="E321" i="4"/>
  <c r="F321" i="4"/>
  <c r="G321" i="4"/>
  <c r="H321" i="4"/>
  <c r="I321" i="4"/>
  <c r="J321" i="4"/>
  <c r="K321" i="4"/>
  <c r="B322" i="4"/>
  <c r="C322" i="4"/>
  <c r="D322" i="4"/>
  <c r="E322" i="4"/>
  <c r="F322" i="4"/>
  <c r="G322" i="4"/>
  <c r="H322" i="4"/>
  <c r="I322" i="4"/>
  <c r="J322" i="4"/>
  <c r="K322" i="4"/>
  <c r="B323" i="4"/>
  <c r="C323" i="4"/>
  <c r="D323" i="4"/>
  <c r="E323" i="4"/>
  <c r="F323" i="4"/>
  <c r="G323" i="4"/>
  <c r="H323" i="4"/>
  <c r="I323" i="4"/>
  <c r="J323" i="4"/>
  <c r="K323" i="4"/>
  <c r="B324" i="4"/>
  <c r="C324" i="4"/>
  <c r="D324" i="4"/>
  <c r="E324" i="4"/>
  <c r="F324" i="4"/>
  <c r="G324" i="4"/>
  <c r="H324" i="4"/>
  <c r="I324" i="4"/>
  <c r="J324" i="4"/>
  <c r="K324" i="4"/>
  <c r="B325" i="4"/>
  <c r="C325" i="4"/>
  <c r="D325" i="4"/>
  <c r="E325" i="4"/>
  <c r="F325" i="4"/>
  <c r="G325" i="4"/>
  <c r="H325" i="4"/>
  <c r="I325" i="4"/>
  <c r="J325" i="4"/>
  <c r="K325" i="4"/>
  <c r="B326" i="4"/>
  <c r="C326" i="4"/>
  <c r="D326" i="4"/>
  <c r="E326" i="4"/>
  <c r="F326" i="4"/>
  <c r="G326" i="4"/>
  <c r="H326" i="4"/>
  <c r="I326" i="4"/>
  <c r="J326" i="4"/>
  <c r="K326" i="4"/>
  <c r="B327" i="4"/>
  <c r="C327" i="4"/>
  <c r="D327" i="4"/>
  <c r="E327" i="4"/>
  <c r="F327" i="4"/>
  <c r="G327" i="4"/>
  <c r="H327" i="4"/>
  <c r="I327" i="4"/>
  <c r="J327" i="4"/>
  <c r="K327" i="4"/>
  <c r="B328" i="4"/>
  <c r="C328" i="4"/>
  <c r="D328" i="4"/>
  <c r="E328" i="4"/>
  <c r="F328" i="4"/>
  <c r="G328" i="4"/>
  <c r="H328" i="4"/>
  <c r="I328" i="4"/>
  <c r="J328" i="4"/>
  <c r="K328" i="4"/>
  <c r="B329" i="4"/>
  <c r="C329" i="4"/>
  <c r="D329" i="4"/>
  <c r="E329" i="4"/>
  <c r="F329" i="4"/>
  <c r="G329" i="4"/>
  <c r="H329" i="4"/>
  <c r="I329" i="4"/>
  <c r="J329" i="4"/>
  <c r="K329" i="4"/>
  <c r="B330" i="4"/>
  <c r="C330" i="4"/>
  <c r="D330" i="4"/>
  <c r="E330" i="4"/>
  <c r="F330" i="4"/>
  <c r="G330" i="4"/>
  <c r="H330" i="4"/>
  <c r="I330" i="4"/>
  <c r="J330" i="4"/>
  <c r="K330" i="4"/>
  <c r="B331" i="4"/>
  <c r="C331" i="4"/>
  <c r="D331" i="4"/>
  <c r="E331" i="4"/>
  <c r="F331" i="4"/>
  <c r="G331" i="4"/>
  <c r="H331" i="4"/>
  <c r="I331" i="4"/>
  <c r="J331" i="4"/>
  <c r="K331" i="4"/>
  <c r="B332" i="4"/>
  <c r="C332" i="4"/>
  <c r="D332" i="4"/>
  <c r="E332" i="4"/>
  <c r="F332" i="4"/>
  <c r="G332" i="4"/>
  <c r="H332" i="4"/>
  <c r="I332" i="4"/>
  <c r="J332" i="4"/>
  <c r="K332" i="4"/>
  <c r="B333" i="4"/>
  <c r="C333" i="4"/>
  <c r="D333" i="4"/>
  <c r="E333" i="4"/>
  <c r="F333" i="4"/>
  <c r="G333" i="4"/>
  <c r="H333" i="4"/>
  <c r="I333" i="4"/>
  <c r="J333" i="4"/>
  <c r="K333" i="4"/>
  <c r="B334" i="4"/>
  <c r="C334" i="4"/>
  <c r="D334" i="4"/>
  <c r="E334" i="4"/>
  <c r="F334" i="4"/>
  <c r="G334" i="4"/>
  <c r="H334" i="4"/>
  <c r="I334" i="4"/>
  <c r="J334" i="4"/>
  <c r="K334" i="4"/>
  <c r="B335" i="4"/>
  <c r="C335" i="4"/>
  <c r="D335" i="4"/>
  <c r="E335" i="4"/>
  <c r="F335" i="4"/>
  <c r="G335" i="4"/>
  <c r="H335" i="4"/>
  <c r="I335" i="4"/>
  <c r="J335" i="4"/>
  <c r="K335" i="4"/>
  <c r="B336" i="4"/>
  <c r="C336" i="4"/>
  <c r="D336" i="4"/>
  <c r="E336" i="4"/>
  <c r="F336" i="4"/>
  <c r="G336" i="4"/>
  <c r="H336" i="4"/>
  <c r="I336" i="4"/>
  <c r="J336" i="4"/>
  <c r="K336" i="4"/>
  <c r="B337" i="4"/>
  <c r="C337" i="4"/>
  <c r="D337" i="4"/>
  <c r="E337" i="4"/>
  <c r="F337" i="4"/>
  <c r="G337" i="4"/>
  <c r="H337" i="4"/>
  <c r="I337" i="4"/>
  <c r="J337" i="4"/>
  <c r="K337" i="4"/>
  <c r="B338" i="4"/>
  <c r="C338" i="4"/>
  <c r="D338" i="4"/>
  <c r="E338" i="4"/>
  <c r="F338" i="4"/>
  <c r="G338" i="4"/>
  <c r="H338" i="4"/>
  <c r="I338" i="4"/>
  <c r="J338" i="4"/>
  <c r="K338" i="4"/>
  <c r="B339" i="4"/>
  <c r="C339" i="4"/>
  <c r="D339" i="4"/>
  <c r="E339" i="4"/>
  <c r="F339" i="4"/>
  <c r="G339" i="4"/>
  <c r="H339" i="4"/>
  <c r="I339" i="4"/>
  <c r="J339" i="4"/>
  <c r="K339" i="4"/>
  <c r="B340" i="4"/>
  <c r="C340" i="4"/>
  <c r="D340" i="4"/>
  <c r="E340" i="4"/>
  <c r="F340" i="4"/>
  <c r="G340" i="4"/>
  <c r="H340" i="4"/>
  <c r="I340" i="4"/>
  <c r="J340" i="4"/>
  <c r="K340" i="4"/>
  <c r="B341" i="4"/>
  <c r="C341" i="4"/>
  <c r="D341" i="4"/>
  <c r="E341" i="4"/>
  <c r="F341" i="4"/>
  <c r="G341" i="4"/>
  <c r="H341" i="4"/>
  <c r="I341" i="4"/>
  <c r="J341" i="4"/>
  <c r="K341" i="4"/>
  <c r="B342" i="4"/>
  <c r="C342" i="4"/>
  <c r="D342" i="4"/>
  <c r="E342" i="4"/>
  <c r="F342" i="4"/>
  <c r="G342" i="4"/>
  <c r="H342" i="4"/>
  <c r="I342" i="4"/>
  <c r="J342" i="4"/>
  <c r="K342" i="4"/>
  <c r="B343" i="4"/>
  <c r="C343" i="4"/>
  <c r="D343" i="4"/>
  <c r="E343" i="4"/>
  <c r="F343" i="4"/>
  <c r="G343" i="4"/>
  <c r="H343" i="4"/>
  <c r="I343" i="4"/>
  <c r="J343" i="4"/>
  <c r="K343" i="4"/>
  <c r="B344" i="4"/>
  <c r="C344" i="4"/>
  <c r="D344" i="4"/>
  <c r="E344" i="4"/>
  <c r="F344" i="4"/>
  <c r="G344" i="4"/>
  <c r="H344" i="4"/>
  <c r="I344" i="4"/>
  <c r="J344" i="4"/>
  <c r="K344" i="4"/>
  <c r="B345" i="4"/>
  <c r="C345" i="4"/>
  <c r="D345" i="4"/>
  <c r="E345" i="4"/>
  <c r="F345" i="4"/>
  <c r="G345" i="4"/>
  <c r="H345" i="4"/>
  <c r="I345" i="4"/>
  <c r="J345" i="4"/>
  <c r="K345" i="4"/>
  <c r="B346" i="4"/>
  <c r="C346" i="4"/>
  <c r="D346" i="4"/>
  <c r="E346" i="4"/>
  <c r="F346" i="4"/>
  <c r="G346" i="4"/>
  <c r="H346" i="4"/>
  <c r="I346" i="4"/>
  <c r="J346" i="4"/>
  <c r="K346" i="4"/>
  <c r="B347" i="4"/>
  <c r="C347" i="4"/>
  <c r="D347" i="4"/>
  <c r="E347" i="4"/>
  <c r="F347" i="4"/>
  <c r="G347" i="4"/>
  <c r="H347" i="4"/>
  <c r="I347" i="4"/>
  <c r="J347" i="4"/>
  <c r="K347" i="4"/>
  <c r="B348" i="4"/>
  <c r="C348" i="4"/>
  <c r="D348" i="4"/>
  <c r="E348" i="4"/>
  <c r="F348" i="4"/>
  <c r="G348" i="4"/>
  <c r="H348" i="4"/>
  <c r="I348" i="4"/>
  <c r="J348" i="4"/>
  <c r="K348" i="4"/>
  <c r="B349" i="4"/>
  <c r="C349" i="4"/>
  <c r="D349" i="4"/>
  <c r="E349" i="4"/>
  <c r="F349" i="4"/>
  <c r="G349" i="4"/>
  <c r="H349" i="4"/>
  <c r="I349" i="4"/>
  <c r="J349" i="4"/>
  <c r="K349" i="4"/>
  <c r="B350" i="4"/>
  <c r="C350" i="4"/>
  <c r="D350" i="4"/>
  <c r="E350" i="4"/>
  <c r="F350" i="4"/>
  <c r="G350" i="4"/>
  <c r="H350" i="4"/>
  <c r="I350" i="4"/>
  <c r="J350" i="4"/>
  <c r="K350" i="4"/>
  <c r="B351" i="4"/>
  <c r="C351" i="4"/>
  <c r="D351" i="4"/>
  <c r="E351" i="4"/>
  <c r="F351" i="4"/>
  <c r="G351" i="4"/>
  <c r="H351" i="4"/>
  <c r="I351" i="4"/>
  <c r="J351" i="4"/>
  <c r="K351" i="4"/>
  <c r="B352" i="4"/>
  <c r="C352" i="4"/>
  <c r="D352" i="4"/>
  <c r="E352" i="4"/>
  <c r="F352" i="4"/>
  <c r="G352" i="4"/>
  <c r="H352" i="4"/>
  <c r="I352" i="4"/>
  <c r="J352" i="4"/>
  <c r="K352" i="4"/>
  <c r="B353" i="4"/>
  <c r="C353" i="4"/>
  <c r="D353" i="4"/>
  <c r="E353" i="4"/>
  <c r="F353" i="4"/>
  <c r="G353" i="4"/>
  <c r="H353" i="4"/>
  <c r="I353" i="4"/>
  <c r="J353" i="4"/>
  <c r="K353" i="4"/>
  <c r="B354" i="4"/>
  <c r="C354" i="4"/>
  <c r="D354" i="4"/>
  <c r="E354" i="4"/>
  <c r="F354" i="4"/>
  <c r="G354" i="4"/>
  <c r="H354" i="4"/>
  <c r="I354" i="4"/>
  <c r="J354" i="4"/>
  <c r="K354" i="4"/>
  <c r="B355" i="4"/>
  <c r="C355" i="4"/>
  <c r="D355" i="4"/>
  <c r="E355" i="4"/>
  <c r="F355" i="4"/>
  <c r="G355" i="4"/>
  <c r="H355" i="4"/>
  <c r="I355" i="4"/>
  <c r="J355" i="4"/>
  <c r="K355" i="4"/>
  <c r="B356" i="4"/>
  <c r="C356" i="4"/>
  <c r="D356" i="4"/>
  <c r="E356" i="4"/>
  <c r="F356" i="4"/>
  <c r="G356" i="4"/>
  <c r="H356" i="4"/>
  <c r="I356" i="4"/>
  <c r="J356" i="4"/>
  <c r="K356" i="4"/>
  <c r="B357" i="4"/>
  <c r="C357" i="4"/>
  <c r="D357" i="4"/>
  <c r="E357" i="4"/>
  <c r="F357" i="4"/>
  <c r="G357" i="4"/>
  <c r="H357" i="4"/>
  <c r="I357" i="4"/>
  <c r="J357" i="4"/>
  <c r="K357" i="4"/>
  <c r="B358" i="4"/>
  <c r="C358" i="4"/>
  <c r="D358" i="4"/>
  <c r="E358" i="4"/>
  <c r="F358" i="4"/>
  <c r="G358" i="4"/>
  <c r="H358" i="4"/>
  <c r="I358" i="4"/>
  <c r="J358" i="4"/>
  <c r="K358" i="4"/>
  <c r="B359" i="4"/>
  <c r="C359" i="4"/>
  <c r="D359" i="4"/>
  <c r="E359" i="4"/>
  <c r="F359" i="4"/>
  <c r="G359" i="4"/>
  <c r="H359" i="4"/>
  <c r="I359" i="4"/>
  <c r="J359" i="4"/>
  <c r="K359" i="4"/>
  <c r="B360" i="4"/>
  <c r="C360" i="4"/>
  <c r="D360" i="4"/>
  <c r="E360" i="4"/>
  <c r="F360" i="4"/>
  <c r="G360" i="4"/>
  <c r="H360" i="4"/>
  <c r="I360" i="4"/>
  <c r="J360" i="4"/>
  <c r="K360" i="4"/>
  <c r="B361" i="4"/>
  <c r="C361" i="4"/>
  <c r="D361" i="4"/>
  <c r="E361" i="4"/>
  <c r="F361" i="4"/>
  <c r="G361" i="4"/>
  <c r="H361" i="4"/>
  <c r="I361" i="4"/>
  <c r="J361" i="4"/>
  <c r="K361" i="4"/>
  <c r="B362" i="4"/>
  <c r="C362" i="4"/>
  <c r="D362" i="4"/>
  <c r="E362" i="4"/>
  <c r="F362" i="4"/>
  <c r="G362" i="4"/>
  <c r="H362" i="4"/>
  <c r="I362" i="4"/>
  <c r="J362" i="4"/>
  <c r="K362" i="4"/>
  <c r="B363" i="4"/>
  <c r="C363" i="4"/>
  <c r="D363" i="4"/>
  <c r="E363" i="4"/>
  <c r="F363" i="4"/>
  <c r="G363" i="4"/>
  <c r="H363" i="4"/>
  <c r="I363" i="4"/>
  <c r="J363" i="4"/>
  <c r="K363" i="4"/>
  <c r="B364" i="4"/>
  <c r="C364" i="4"/>
  <c r="D364" i="4"/>
  <c r="E364" i="4"/>
  <c r="F364" i="4"/>
  <c r="G364" i="4"/>
  <c r="H364" i="4"/>
  <c r="I364" i="4"/>
  <c r="J364" i="4"/>
  <c r="K364" i="4"/>
  <c r="B365" i="4"/>
  <c r="C365" i="4"/>
  <c r="D365" i="4"/>
  <c r="E365" i="4"/>
  <c r="F365" i="4"/>
  <c r="G365" i="4"/>
  <c r="H365" i="4"/>
  <c r="I365" i="4"/>
  <c r="J365" i="4"/>
  <c r="K365" i="4"/>
  <c r="B366" i="4"/>
  <c r="C366" i="4"/>
  <c r="D366" i="4"/>
  <c r="E366" i="4"/>
  <c r="F366" i="4"/>
  <c r="G366" i="4"/>
  <c r="H366" i="4"/>
  <c r="I366" i="4"/>
  <c r="J366" i="4"/>
  <c r="K366" i="4"/>
  <c r="B367" i="4"/>
  <c r="C367" i="4"/>
  <c r="D367" i="4"/>
  <c r="E367" i="4"/>
  <c r="F367" i="4"/>
  <c r="G367" i="4"/>
  <c r="H367" i="4"/>
  <c r="I367" i="4"/>
  <c r="J367" i="4"/>
  <c r="K367" i="4"/>
  <c r="B368" i="4"/>
  <c r="C368" i="4"/>
  <c r="D368" i="4"/>
  <c r="E368" i="4"/>
  <c r="F368" i="4"/>
  <c r="G368" i="4"/>
  <c r="H368" i="4"/>
  <c r="I368" i="4"/>
  <c r="J368" i="4"/>
  <c r="K368" i="4"/>
  <c r="B369" i="4"/>
  <c r="C369" i="4"/>
  <c r="D369" i="4"/>
  <c r="E369" i="4"/>
  <c r="F369" i="4"/>
  <c r="G369" i="4"/>
  <c r="H369" i="4"/>
  <c r="I369" i="4"/>
  <c r="J369" i="4"/>
  <c r="K369" i="4"/>
  <c r="B370" i="4"/>
  <c r="C370" i="4"/>
  <c r="D370" i="4"/>
  <c r="E370" i="4"/>
  <c r="F370" i="4"/>
  <c r="G370" i="4"/>
  <c r="H370" i="4"/>
  <c r="I370" i="4"/>
  <c r="J370" i="4"/>
  <c r="K370" i="4"/>
  <c r="B371" i="4"/>
  <c r="C371" i="4"/>
  <c r="D371" i="4"/>
  <c r="E371" i="4"/>
  <c r="F371" i="4"/>
  <c r="G371" i="4"/>
  <c r="H371" i="4"/>
  <c r="I371" i="4"/>
  <c r="J371" i="4"/>
  <c r="K371" i="4"/>
  <c r="B372" i="4"/>
  <c r="C372" i="4"/>
  <c r="D372" i="4"/>
  <c r="E372" i="4"/>
  <c r="F372" i="4"/>
  <c r="G372" i="4"/>
  <c r="H372" i="4"/>
  <c r="I372" i="4"/>
  <c r="J372" i="4"/>
  <c r="K372" i="4"/>
  <c r="B373" i="4"/>
  <c r="C373" i="4"/>
  <c r="D373" i="4"/>
  <c r="E373" i="4"/>
  <c r="F373" i="4"/>
  <c r="G373" i="4"/>
  <c r="H373" i="4"/>
  <c r="I373" i="4"/>
  <c r="J373" i="4"/>
  <c r="K373" i="4"/>
  <c r="B374" i="4"/>
  <c r="C374" i="4"/>
  <c r="D374" i="4"/>
  <c r="E374" i="4"/>
  <c r="F374" i="4"/>
  <c r="G374" i="4"/>
  <c r="H374" i="4"/>
  <c r="I374" i="4"/>
  <c r="J374" i="4"/>
  <c r="K374" i="4"/>
  <c r="B375" i="4"/>
  <c r="C375" i="4"/>
  <c r="D375" i="4"/>
  <c r="E375" i="4"/>
  <c r="F375" i="4"/>
  <c r="G375" i="4"/>
  <c r="H375" i="4"/>
  <c r="I375" i="4"/>
  <c r="J375" i="4"/>
  <c r="K375" i="4"/>
  <c r="B376" i="4"/>
  <c r="C376" i="4"/>
  <c r="D376" i="4"/>
  <c r="E376" i="4"/>
  <c r="F376" i="4"/>
  <c r="G376" i="4"/>
  <c r="H376" i="4"/>
  <c r="I376" i="4"/>
  <c r="J376" i="4"/>
  <c r="K376" i="4"/>
  <c r="B377" i="4"/>
  <c r="C377" i="4"/>
  <c r="D377" i="4"/>
  <c r="E377" i="4"/>
  <c r="F377" i="4"/>
  <c r="G377" i="4"/>
  <c r="H377" i="4"/>
  <c r="I377" i="4"/>
  <c r="J377" i="4"/>
  <c r="K377" i="4"/>
  <c r="B378" i="4"/>
  <c r="C378" i="4"/>
  <c r="D378" i="4"/>
  <c r="E378" i="4"/>
  <c r="F378" i="4"/>
  <c r="G378" i="4"/>
  <c r="H378" i="4"/>
  <c r="I378" i="4"/>
  <c r="J378" i="4"/>
  <c r="K378" i="4"/>
  <c r="B379" i="4"/>
  <c r="C379" i="4"/>
  <c r="D379" i="4"/>
  <c r="E379" i="4"/>
  <c r="F379" i="4"/>
  <c r="G379" i="4"/>
  <c r="H379" i="4"/>
  <c r="I379" i="4"/>
  <c r="J379" i="4"/>
  <c r="K379" i="4"/>
  <c r="B380" i="4"/>
  <c r="C380" i="4"/>
  <c r="D380" i="4"/>
  <c r="E380" i="4"/>
  <c r="F380" i="4"/>
  <c r="G380" i="4"/>
  <c r="H380" i="4"/>
  <c r="I380" i="4"/>
  <c r="J380" i="4"/>
  <c r="K380" i="4"/>
  <c r="B381" i="4"/>
  <c r="C381" i="4"/>
  <c r="D381" i="4"/>
  <c r="E381" i="4"/>
  <c r="F381" i="4"/>
  <c r="G381" i="4"/>
  <c r="H381" i="4"/>
  <c r="I381" i="4"/>
  <c r="J381" i="4"/>
  <c r="K381" i="4"/>
  <c r="B382" i="4"/>
  <c r="C382" i="4"/>
  <c r="D382" i="4"/>
  <c r="E382" i="4"/>
  <c r="F382" i="4"/>
  <c r="G382" i="4"/>
  <c r="H382" i="4"/>
  <c r="I382" i="4"/>
  <c r="J382" i="4"/>
  <c r="K382" i="4"/>
  <c r="B383" i="4"/>
  <c r="C383" i="4"/>
  <c r="D383" i="4"/>
  <c r="E383" i="4"/>
  <c r="F383" i="4"/>
  <c r="G383" i="4"/>
  <c r="H383" i="4"/>
  <c r="I383" i="4"/>
  <c r="J383" i="4"/>
  <c r="K383" i="4"/>
  <c r="B384" i="4"/>
  <c r="C384" i="4"/>
  <c r="D384" i="4"/>
  <c r="E384" i="4"/>
  <c r="F384" i="4"/>
  <c r="G384" i="4"/>
  <c r="H384" i="4"/>
  <c r="I384" i="4"/>
  <c r="J384" i="4"/>
  <c r="K384" i="4"/>
  <c r="B385" i="4"/>
  <c r="C385" i="4"/>
  <c r="D385" i="4"/>
  <c r="E385" i="4"/>
  <c r="F385" i="4"/>
  <c r="G385" i="4"/>
  <c r="H385" i="4"/>
  <c r="I385" i="4"/>
  <c r="J385" i="4"/>
  <c r="K385" i="4"/>
  <c r="B386" i="4"/>
  <c r="C386" i="4"/>
  <c r="D386" i="4"/>
  <c r="E386" i="4"/>
  <c r="F386" i="4"/>
  <c r="G386" i="4"/>
  <c r="H386" i="4"/>
  <c r="I386" i="4"/>
  <c r="J386" i="4"/>
  <c r="K386" i="4"/>
  <c r="B387" i="4"/>
  <c r="C387" i="4"/>
  <c r="D387" i="4"/>
  <c r="E387" i="4"/>
  <c r="F387" i="4"/>
  <c r="G387" i="4"/>
  <c r="H387" i="4"/>
  <c r="I387" i="4"/>
  <c r="J387" i="4"/>
  <c r="K387" i="4"/>
  <c r="B388" i="4"/>
  <c r="C388" i="4"/>
  <c r="D388" i="4"/>
  <c r="E388" i="4"/>
  <c r="F388" i="4"/>
  <c r="G388" i="4"/>
  <c r="H388" i="4"/>
  <c r="I388" i="4"/>
  <c r="J388" i="4"/>
  <c r="K388" i="4"/>
  <c r="B389" i="4"/>
  <c r="C389" i="4"/>
  <c r="D389" i="4"/>
  <c r="E389" i="4"/>
  <c r="F389" i="4"/>
  <c r="G389" i="4"/>
  <c r="H389" i="4"/>
  <c r="I389" i="4"/>
  <c r="J389" i="4"/>
  <c r="K389" i="4"/>
  <c r="B390" i="4"/>
  <c r="C390" i="4"/>
  <c r="D390" i="4"/>
  <c r="E390" i="4"/>
  <c r="F390" i="4"/>
  <c r="G390" i="4"/>
  <c r="H390" i="4"/>
  <c r="I390" i="4"/>
  <c r="J390" i="4"/>
  <c r="K390" i="4"/>
  <c r="B391" i="4"/>
  <c r="C391" i="4"/>
  <c r="D391" i="4"/>
  <c r="E391" i="4"/>
  <c r="F391" i="4"/>
  <c r="G391" i="4"/>
  <c r="H391" i="4"/>
  <c r="I391" i="4"/>
  <c r="J391" i="4"/>
  <c r="K391" i="4"/>
  <c r="B392" i="4"/>
  <c r="C392" i="4"/>
  <c r="D392" i="4"/>
  <c r="E392" i="4"/>
  <c r="F392" i="4"/>
  <c r="G392" i="4"/>
  <c r="H392" i="4"/>
  <c r="I392" i="4"/>
  <c r="J392" i="4"/>
  <c r="K392" i="4"/>
  <c r="B393" i="4"/>
  <c r="C393" i="4"/>
  <c r="D393" i="4"/>
  <c r="E393" i="4"/>
  <c r="F393" i="4"/>
  <c r="G393" i="4"/>
  <c r="H393" i="4"/>
  <c r="I393" i="4"/>
  <c r="J393" i="4"/>
  <c r="K393" i="4"/>
  <c r="B394" i="4"/>
  <c r="C394" i="4"/>
  <c r="D394" i="4"/>
  <c r="E394" i="4"/>
  <c r="F394" i="4"/>
  <c r="G394" i="4"/>
  <c r="H394" i="4"/>
  <c r="I394" i="4"/>
  <c r="J394" i="4"/>
  <c r="K394" i="4"/>
  <c r="B395" i="4"/>
  <c r="C395" i="4"/>
  <c r="D395" i="4"/>
  <c r="E395" i="4"/>
  <c r="F395" i="4"/>
  <c r="G395" i="4"/>
  <c r="H395" i="4"/>
  <c r="I395" i="4"/>
  <c r="J395" i="4"/>
  <c r="K395" i="4"/>
  <c r="B396" i="4"/>
  <c r="C396" i="4"/>
  <c r="D396" i="4"/>
  <c r="E396" i="4"/>
  <c r="F396" i="4"/>
  <c r="G396" i="4"/>
  <c r="H396" i="4"/>
  <c r="I396" i="4"/>
  <c r="J396" i="4"/>
  <c r="K396" i="4"/>
  <c r="B397" i="4"/>
  <c r="C397" i="4"/>
  <c r="D397" i="4"/>
  <c r="E397" i="4"/>
  <c r="F397" i="4"/>
  <c r="G397" i="4"/>
  <c r="H397" i="4"/>
  <c r="I397" i="4"/>
  <c r="J397" i="4"/>
  <c r="K397" i="4"/>
  <c r="B398" i="4"/>
  <c r="C398" i="4"/>
  <c r="D398" i="4"/>
  <c r="E398" i="4"/>
  <c r="F398" i="4"/>
  <c r="G398" i="4"/>
  <c r="H398" i="4"/>
  <c r="I398" i="4"/>
  <c r="J398" i="4"/>
  <c r="K398" i="4"/>
  <c r="B399" i="4"/>
  <c r="C399" i="4"/>
  <c r="D399" i="4"/>
  <c r="E399" i="4"/>
  <c r="F399" i="4"/>
  <c r="G399" i="4"/>
  <c r="H399" i="4"/>
  <c r="I399" i="4"/>
  <c r="J399" i="4"/>
  <c r="K399" i="4"/>
  <c r="B400" i="4"/>
  <c r="C400" i="4"/>
  <c r="D400" i="4"/>
  <c r="E400" i="4"/>
  <c r="F400" i="4"/>
  <c r="G400" i="4"/>
  <c r="H400" i="4"/>
  <c r="I400" i="4"/>
  <c r="J400" i="4"/>
  <c r="K400" i="4"/>
  <c r="B401" i="4"/>
  <c r="C401" i="4"/>
  <c r="D401" i="4"/>
  <c r="E401" i="4"/>
  <c r="F401" i="4"/>
  <c r="G401" i="4"/>
  <c r="H401" i="4"/>
  <c r="I401" i="4"/>
  <c r="J401" i="4"/>
  <c r="K401" i="4"/>
  <c r="B402" i="4"/>
  <c r="C402" i="4"/>
  <c r="D402" i="4"/>
  <c r="E402" i="4"/>
  <c r="F402" i="4"/>
  <c r="G402" i="4"/>
  <c r="H402" i="4"/>
  <c r="I402" i="4"/>
  <c r="J402" i="4"/>
  <c r="K402" i="4"/>
  <c r="B403" i="4"/>
  <c r="C403" i="4"/>
  <c r="D403" i="4"/>
  <c r="E403" i="4"/>
  <c r="F403" i="4"/>
  <c r="G403" i="4"/>
  <c r="H403" i="4"/>
  <c r="I403" i="4"/>
  <c r="J403" i="4"/>
  <c r="K403" i="4"/>
  <c r="B404" i="4"/>
  <c r="C404" i="4"/>
  <c r="D404" i="4"/>
  <c r="E404" i="4"/>
  <c r="F404" i="4"/>
  <c r="G404" i="4"/>
  <c r="H404" i="4"/>
  <c r="I404" i="4"/>
  <c r="J404" i="4"/>
  <c r="K404" i="4"/>
  <c r="B405" i="4"/>
  <c r="C405" i="4"/>
  <c r="D405" i="4"/>
  <c r="E405" i="4"/>
  <c r="F405" i="4"/>
  <c r="G405" i="4"/>
  <c r="H405" i="4"/>
  <c r="I405" i="4"/>
  <c r="J405" i="4"/>
  <c r="K405" i="4"/>
  <c r="B406" i="4"/>
  <c r="C406" i="4"/>
  <c r="D406" i="4"/>
  <c r="E406" i="4"/>
  <c r="F406" i="4"/>
  <c r="G406" i="4"/>
  <c r="H406" i="4"/>
  <c r="I406" i="4"/>
  <c r="J406" i="4"/>
  <c r="K406" i="4"/>
  <c r="B407" i="4"/>
  <c r="C407" i="4"/>
  <c r="D407" i="4"/>
  <c r="E407" i="4"/>
  <c r="F407" i="4"/>
  <c r="G407" i="4"/>
  <c r="H407" i="4"/>
  <c r="I407" i="4"/>
  <c r="J407" i="4"/>
  <c r="K407" i="4"/>
  <c r="B408" i="4"/>
  <c r="C408" i="4"/>
  <c r="D408" i="4"/>
  <c r="E408" i="4"/>
  <c r="F408" i="4"/>
  <c r="G408" i="4"/>
  <c r="H408" i="4"/>
  <c r="I408" i="4"/>
  <c r="J408" i="4"/>
  <c r="K408" i="4"/>
  <c r="B409" i="4"/>
  <c r="C409" i="4"/>
  <c r="D409" i="4"/>
  <c r="E409" i="4"/>
  <c r="F409" i="4"/>
  <c r="G409" i="4"/>
  <c r="H409" i="4"/>
  <c r="I409" i="4"/>
  <c r="J409" i="4"/>
  <c r="K409" i="4"/>
  <c r="B410" i="4"/>
  <c r="C410" i="4"/>
  <c r="D410" i="4"/>
  <c r="E410" i="4"/>
  <c r="F410" i="4"/>
  <c r="G410" i="4"/>
  <c r="H410" i="4"/>
  <c r="I410" i="4"/>
  <c r="J410" i="4"/>
  <c r="K410" i="4"/>
  <c r="B411" i="4"/>
  <c r="C411" i="4"/>
  <c r="D411" i="4"/>
  <c r="E411" i="4"/>
  <c r="F411" i="4"/>
  <c r="G411" i="4"/>
  <c r="H411" i="4"/>
  <c r="I411" i="4"/>
  <c r="J411" i="4"/>
  <c r="K411" i="4"/>
  <c r="B412" i="4"/>
  <c r="C412" i="4"/>
  <c r="D412" i="4"/>
  <c r="E412" i="4"/>
  <c r="F412" i="4"/>
  <c r="G412" i="4"/>
  <c r="H412" i="4"/>
  <c r="I412" i="4"/>
  <c r="J412" i="4"/>
  <c r="K412" i="4"/>
  <c r="B413" i="4"/>
  <c r="C413" i="4"/>
  <c r="D413" i="4"/>
  <c r="E413" i="4"/>
  <c r="F413" i="4"/>
  <c r="G413" i="4"/>
  <c r="H413" i="4"/>
  <c r="I413" i="4"/>
  <c r="J413" i="4"/>
  <c r="K413" i="4"/>
  <c r="B414" i="4"/>
  <c r="C414" i="4"/>
  <c r="D414" i="4"/>
  <c r="E414" i="4"/>
  <c r="F414" i="4"/>
  <c r="G414" i="4"/>
  <c r="H414" i="4"/>
  <c r="I414" i="4"/>
  <c r="J414" i="4"/>
  <c r="K414" i="4"/>
  <c r="B415" i="4"/>
  <c r="C415" i="4"/>
  <c r="D415" i="4"/>
  <c r="E415" i="4"/>
  <c r="F415" i="4"/>
  <c r="G415" i="4"/>
  <c r="H415" i="4"/>
  <c r="I415" i="4"/>
  <c r="J415" i="4"/>
  <c r="K415" i="4"/>
  <c r="B416" i="4"/>
  <c r="C416" i="4"/>
  <c r="D416" i="4"/>
  <c r="E416" i="4"/>
  <c r="F416" i="4"/>
  <c r="G416" i="4"/>
  <c r="H416" i="4"/>
  <c r="I416" i="4"/>
  <c r="J416" i="4"/>
  <c r="K416" i="4"/>
  <c r="B417" i="4"/>
  <c r="C417" i="4"/>
  <c r="D417" i="4"/>
  <c r="E417" i="4"/>
  <c r="F417" i="4"/>
  <c r="G417" i="4"/>
  <c r="H417" i="4"/>
  <c r="I417" i="4"/>
  <c r="J417" i="4"/>
  <c r="K417" i="4"/>
  <c r="B418" i="4"/>
  <c r="C418" i="4"/>
  <c r="D418" i="4"/>
  <c r="E418" i="4"/>
  <c r="F418" i="4"/>
  <c r="G418" i="4"/>
  <c r="H418" i="4"/>
  <c r="I418" i="4"/>
  <c r="J418" i="4"/>
  <c r="K418" i="4"/>
  <c r="B419" i="4"/>
  <c r="C419" i="4"/>
  <c r="D419" i="4"/>
  <c r="E419" i="4"/>
  <c r="F419" i="4"/>
  <c r="G419" i="4"/>
  <c r="H419" i="4"/>
  <c r="I419" i="4"/>
  <c r="J419" i="4"/>
  <c r="K419" i="4"/>
  <c r="B420" i="4"/>
  <c r="C420" i="4"/>
  <c r="D420" i="4"/>
  <c r="E420" i="4"/>
  <c r="F420" i="4"/>
  <c r="G420" i="4"/>
  <c r="H420" i="4"/>
  <c r="I420" i="4"/>
  <c r="J420" i="4"/>
  <c r="K420" i="4"/>
  <c r="B421" i="4"/>
  <c r="C421" i="4"/>
  <c r="D421" i="4"/>
  <c r="E421" i="4"/>
  <c r="F421" i="4"/>
  <c r="G421" i="4"/>
  <c r="H421" i="4"/>
  <c r="I421" i="4"/>
  <c r="J421" i="4"/>
  <c r="K421" i="4"/>
  <c r="B422" i="4"/>
  <c r="C422" i="4"/>
  <c r="D422" i="4"/>
  <c r="E422" i="4"/>
  <c r="F422" i="4"/>
  <c r="G422" i="4"/>
  <c r="H422" i="4"/>
  <c r="I422" i="4"/>
  <c r="J422" i="4"/>
  <c r="K422" i="4"/>
  <c r="B423" i="4"/>
  <c r="C423" i="4"/>
  <c r="D423" i="4"/>
  <c r="E423" i="4"/>
  <c r="F423" i="4"/>
  <c r="G423" i="4"/>
  <c r="H423" i="4"/>
  <c r="I423" i="4"/>
  <c r="J423" i="4"/>
  <c r="K423" i="4"/>
  <c r="B424" i="4"/>
  <c r="C424" i="4"/>
  <c r="D424" i="4"/>
  <c r="E424" i="4"/>
  <c r="F424" i="4"/>
  <c r="G424" i="4"/>
  <c r="H424" i="4"/>
  <c r="I424" i="4"/>
  <c r="J424" i="4"/>
  <c r="K424" i="4"/>
  <c r="B425" i="4"/>
  <c r="C425" i="4"/>
  <c r="D425" i="4"/>
  <c r="E425" i="4"/>
  <c r="F425" i="4"/>
  <c r="G425" i="4"/>
  <c r="H425" i="4"/>
  <c r="I425" i="4"/>
  <c r="J425" i="4"/>
  <c r="K425" i="4"/>
  <c r="B426" i="4"/>
  <c r="C426" i="4"/>
  <c r="D426" i="4"/>
  <c r="E426" i="4"/>
  <c r="F426" i="4"/>
  <c r="G426" i="4"/>
  <c r="H426" i="4"/>
  <c r="I426" i="4"/>
  <c r="J426" i="4"/>
  <c r="K426" i="4"/>
  <c r="B427" i="4"/>
  <c r="C427" i="4"/>
  <c r="D427" i="4"/>
  <c r="E427" i="4"/>
  <c r="F427" i="4"/>
  <c r="G427" i="4"/>
  <c r="H427" i="4"/>
  <c r="I427" i="4"/>
  <c r="J427" i="4"/>
  <c r="K427" i="4"/>
  <c r="B428" i="4"/>
  <c r="C428" i="4"/>
  <c r="D428" i="4"/>
  <c r="E428" i="4"/>
  <c r="F428" i="4"/>
  <c r="G428" i="4"/>
  <c r="H428" i="4"/>
  <c r="I428" i="4"/>
  <c r="J428" i="4"/>
  <c r="K428" i="4"/>
  <c r="B429" i="4"/>
  <c r="C429" i="4"/>
  <c r="D429" i="4"/>
  <c r="E429" i="4"/>
  <c r="F429" i="4"/>
  <c r="G429" i="4"/>
  <c r="H429" i="4"/>
  <c r="I429" i="4"/>
  <c r="J429" i="4"/>
  <c r="K429" i="4"/>
  <c r="B430" i="4"/>
  <c r="C430" i="4"/>
  <c r="D430" i="4"/>
  <c r="E430" i="4"/>
  <c r="F430" i="4"/>
  <c r="G430" i="4"/>
  <c r="H430" i="4"/>
  <c r="I430" i="4"/>
  <c r="J430" i="4"/>
  <c r="K430" i="4"/>
  <c r="B431" i="4"/>
  <c r="C431" i="4"/>
  <c r="D431" i="4"/>
  <c r="E431" i="4"/>
  <c r="F431" i="4"/>
  <c r="G431" i="4"/>
  <c r="H431" i="4"/>
  <c r="I431" i="4"/>
  <c r="J431" i="4"/>
  <c r="K431" i="4"/>
  <c r="B432" i="4"/>
  <c r="C432" i="4"/>
  <c r="D432" i="4"/>
  <c r="E432" i="4"/>
  <c r="F432" i="4"/>
  <c r="G432" i="4"/>
  <c r="H432" i="4"/>
  <c r="I432" i="4"/>
  <c r="J432" i="4"/>
  <c r="K432" i="4"/>
  <c r="B433" i="4"/>
  <c r="C433" i="4"/>
  <c r="D433" i="4"/>
  <c r="E433" i="4"/>
  <c r="F433" i="4"/>
  <c r="G433" i="4"/>
  <c r="H433" i="4"/>
  <c r="I433" i="4"/>
  <c r="J433" i="4"/>
  <c r="K433" i="4"/>
  <c r="B434" i="4"/>
  <c r="C434" i="4"/>
  <c r="D434" i="4"/>
  <c r="E434" i="4"/>
  <c r="F434" i="4"/>
  <c r="G434" i="4"/>
  <c r="H434" i="4"/>
  <c r="I434" i="4"/>
  <c r="J434" i="4"/>
  <c r="K434" i="4"/>
  <c r="B435" i="4"/>
  <c r="C435" i="4"/>
  <c r="D435" i="4"/>
  <c r="E435" i="4"/>
  <c r="F435" i="4"/>
  <c r="G435" i="4"/>
  <c r="H435" i="4"/>
  <c r="I435" i="4"/>
  <c r="J435" i="4"/>
  <c r="K435" i="4"/>
  <c r="B436" i="4"/>
  <c r="C436" i="4"/>
  <c r="D436" i="4"/>
  <c r="E436" i="4"/>
  <c r="F436" i="4"/>
  <c r="G436" i="4"/>
  <c r="H436" i="4"/>
  <c r="I436" i="4"/>
  <c r="J436" i="4"/>
  <c r="K436" i="4"/>
  <c r="B437" i="4"/>
  <c r="C437" i="4"/>
  <c r="D437" i="4"/>
  <c r="E437" i="4"/>
  <c r="F437" i="4"/>
  <c r="G437" i="4"/>
  <c r="H437" i="4"/>
  <c r="I437" i="4"/>
  <c r="J437" i="4"/>
  <c r="K437" i="4"/>
  <c r="B438" i="4"/>
  <c r="C438" i="4"/>
  <c r="D438" i="4"/>
  <c r="E438" i="4"/>
  <c r="F438" i="4"/>
  <c r="G438" i="4"/>
  <c r="H438" i="4"/>
  <c r="I438" i="4"/>
  <c r="J438" i="4"/>
  <c r="K438" i="4"/>
  <c r="B439" i="4"/>
  <c r="C439" i="4"/>
  <c r="D439" i="4"/>
  <c r="E439" i="4"/>
  <c r="F439" i="4"/>
  <c r="G439" i="4"/>
  <c r="H439" i="4"/>
  <c r="I439" i="4"/>
  <c r="J439" i="4"/>
  <c r="K439" i="4"/>
  <c r="B440" i="4"/>
  <c r="C440" i="4"/>
  <c r="D440" i="4"/>
  <c r="E440" i="4"/>
  <c r="F440" i="4"/>
  <c r="G440" i="4"/>
  <c r="H440" i="4"/>
  <c r="I440" i="4"/>
  <c r="J440" i="4"/>
  <c r="K440" i="4"/>
  <c r="B441" i="4"/>
  <c r="C441" i="4"/>
  <c r="D441" i="4"/>
  <c r="E441" i="4"/>
  <c r="F441" i="4"/>
  <c r="G441" i="4"/>
  <c r="H441" i="4"/>
  <c r="I441" i="4"/>
  <c r="J441" i="4"/>
  <c r="K441" i="4"/>
  <c r="B442" i="4"/>
  <c r="C442" i="4"/>
  <c r="D442" i="4"/>
  <c r="E442" i="4"/>
  <c r="F442" i="4"/>
  <c r="G442" i="4"/>
  <c r="H442" i="4"/>
  <c r="I442" i="4"/>
  <c r="J442" i="4"/>
  <c r="K442" i="4"/>
  <c r="B443" i="4"/>
  <c r="C443" i="4"/>
  <c r="D443" i="4"/>
  <c r="E443" i="4"/>
  <c r="F443" i="4"/>
  <c r="G443" i="4"/>
  <c r="H443" i="4"/>
  <c r="I443" i="4"/>
  <c r="J443" i="4"/>
  <c r="K443" i="4"/>
  <c r="B444" i="4"/>
  <c r="C444" i="4"/>
  <c r="D444" i="4"/>
  <c r="E444" i="4"/>
  <c r="F444" i="4"/>
  <c r="G444" i="4"/>
  <c r="H444" i="4"/>
  <c r="I444" i="4"/>
  <c r="J444" i="4"/>
  <c r="K444" i="4"/>
  <c r="B445" i="4"/>
  <c r="C445" i="4"/>
  <c r="D445" i="4"/>
  <c r="E445" i="4"/>
  <c r="F445" i="4"/>
  <c r="G445" i="4"/>
  <c r="H445" i="4"/>
  <c r="I445" i="4"/>
  <c r="J445" i="4"/>
  <c r="K445" i="4"/>
  <c r="B446" i="4"/>
  <c r="C446" i="4"/>
  <c r="D446" i="4"/>
  <c r="E446" i="4"/>
  <c r="F446" i="4"/>
  <c r="G446" i="4"/>
  <c r="H446" i="4"/>
  <c r="I446" i="4"/>
  <c r="J446" i="4"/>
  <c r="K446" i="4"/>
  <c r="B447" i="4"/>
  <c r="C447" i="4"/>
  <c r="D447" i="4"/>
  <c r="E447" i="4"/>
  <c r="F447" i="4"/>
  <c r="G447" i="4"/>
  <c r="H447" i="4"/>
  <c r="I447" i="4"/>
  <c r="J447" i="4"/>
  <c r="K447" i="4"/>
  <c r="B448" i="4"/>
  <c r="C448" i="4"/>
  <c r="D448" i="4"/>
  <c r="E448" i="4"/>
  <c r="F448" i="4"/>
  <c r="G448" i="4"/>
  <c r="H448" i="4"/>
  <c r="I448" i="4"/>
  <c r="J448" i="4"/>
  <c r="K448" i="4"/>
  <c r="B449" i="4"/>
  <c r="C449" i="4"/>
  <c r="D449" i="4"/>
  <c r="E449" i="4"/>
  <c r="F449" i="4"/>
  <c r="G449" i="4"/>
  <c r="H449" i="4"/>
  <c r="I449" i="4"/>
  <c r="J449" i="4"/>
  <c r="K449" i="4"/>
  <c r="B450" i="4"/>
  <c r="C450" i="4"/>
  <c r="D450" i="4"/>
  <c r="E450" i="4"/>
  <c r="F450" i="4"/>
  <c r="G450" i="4"/>
  <c r="H450" i="4"/>
  <c r="I450" i="4"/>
  <c r="J450" i="4"/>
  <c r="K450" i="4"/>
  <c r="B451" i="4"/>
  <c r="C451" i="4"/>
  <c r="D451" i="4"/>
  <c r="E451" i="4"/>
  <c r="F451" i="4"/>
  <c r="G451" i="4"/>
  <c r="H451" i="4"/>
  <c r="I451" i="4"/>
  <c r="J451" i="4"/>
  <c r="K451" i="4"/>
  <c r="B452" i="4"/>
  <c r="C452" i="4"/>
  <c r="D452" i="4"/>
  <c r="E452" i="4"/>
  <c r="F452" i="4"/>
  <c r="G452" i="4"/>
  <c r="H452" i="4"/>
  <c r="I452" i="4"/>
  <c r="J452" i="4"/>
  <c r="K452" i="4"/>
  <c r="B453" i="4"/>
  <c r="C453" i="4"/>
  <c r="D453" i="4"/>
  <c r="E453" i="4"/>
  <c r="F453" i="4"/>
  <c r="G453" i="4"/>
  <c r="H453" i="4"/>
  <c r="I453" i="4"/>
  <c r="J453" i="4"/>
  <c r="K453" i="4"/>
  <c r="B454" i="4"/>
  <c r="C454" i="4"/>
  <c r="D454" i="4"/>
  <c r="E454" i="4"/>
  <c r="F454" i="4"/>
  <c r="G454" i="4"/>
  <c r="H454" i="4"/>
  <c r="I454" i="4"/>
  <c r="J454" i="4"/>
  <c r="K454" i="4"/>
  <c r="B455" i="4"/>
  <c r="C455" i="4"/>
  <c r="D455" i="4"/>
  <c r="E455" i="4"/>
  <c r="F455" i="4"/>
  <c r="G455" i="4"/>
  <c r="H455" i="4"/>
  <c r="I455" i="4"/>
  <c r="J455" i="4"/>
  <c r="K455" i="4"/>
  <c r="B456" i="4"/>
  <c r="C456" i="4"/>
  <c r="D456" i="4"/>
  <c r="E456" i="4"/>
  <c r="F456" i="4"/>
  <c r="G456" i="4"/>
  <c r="H456" i="4"/>
  <c r="I456" i="4"/>
  <c r="J456" i="4"/>
  <c r="K456" i="4"/>
  <c r="B457" i="4"/>
  <c r="C457" i="4"/>
  <c r="D457" i="4"/>
  <c r="E457" i="4"/>
  <c r="F457" i="4"/>
  <c r="G457" i="4"/>
  <c r="H457" i="4"/>
  <c r="I457" i="4"/>
  <c r="J457" i="4"/>
  <c r="K457" i="4"/>
  <c r="B458" i="4"/>
  <c r="C458" i="4"/>
  <c r="D458" i="4"/>
  <c r="E458" i="4"/>
  <c r="F458" i="4"/>
  <c r="G458" i="4"/>
  <c r="H458" i="4"/>
  <c r="I458" i="4"/>
  <c r="J458" i="4"/>
  <c r="K458" i="4"/>
  <c r="B459" i="4"/>
  <c r="C459" i="4"/>
  <c r="D459" i="4"/>
  <c r="E459" i="4"/>
  <c r="F459" i="4"/>
  <c r="G459" i="4"/>
  <c r="H459" i="4"/>
  <c r="I459" i="4"/>
  <c r="J459" i="4"/>
  <c r="K459" i="4"/>
  <c r="B460" i="4"/>
  <c r="C460" i="4"/>
  <c r="D460" i="4"/>
  <c r="E460" i="4"/>
  <c r="F460" i="4"/>
  <c r="G460" i="4"/>
  <c r="H460" i="4"/>
  <c r="I460" i="4"/>
  <c r="J460" i="4"/>
  <c r="K460" i="4"/>
  <c r="B461" i="4"/>
  <c r="C461" i="4"/>
  <c r="D461" i="4"/>
  <c r="E461" i="4"/>
  <c r="F461" i="4"/>
  <c r="G461" i="4"/>
  <c r="H461" i="4"/>
  <c r="I461" i="4"/>
  <c r="J461" i="4"/>
  <c r="K461" i="4"/>
  <c r="B462" i="4"/>
  <c r="C462" i="4"/>
  <c r="D462" i="4"/>
  <c r="E462" i="4"/>
  <c r="F462" i="4"/>
  <c r="G462" i="4"/>
  <c r="H462" i="4"/>
  <c r="I462" i="4"/>
  <c r="J462" i="4"/>
  <c r="K462" i="4"/>
  <c r="B463" i="4"/>
  <c r="C463" i="4"/>
  <c r="D463" i="4"/>
  <c r="E463" i="4"/>
  <c r="F463" i="4"/>
  <c r="G463" i="4"/>
  <c r="H463" i="4"/>
  <c r="I463" i="4"/>
  <c r="J463" i="4"/>
  <c r="K463" i="4"/>
  <c r="B464" i="4"/>
  <c r="C464" i="4"/>
  <c r="D464" i="4"/>
  <c r="E464" i="4"/>
  <c r="F464" i="4"/>
  <c r="G464" i="4"/>
  <c r="H464" i="4"/>
  <c r="I464" i="4"/>
  <c r="J464" i="4"/>
  <c r="K464" i="4"/>
  <c r="B465" i="4"/>
  <c r="C465" i="4"/>
  <c r="D465" i="4"/>
  <c r="E465" i="4"/>
  <c r="F465" i="4"/>
  <c r="G465" i="4"/>
  <c r="H465" i="4"/>
  <c r="I465" i="4"/>
  <c r="J465" i="4"/>
  <c r="K465" i="4"/>
  <c r="B466" i="4"/>
  <c r="C466" i="4"/>
  <c r="D466" i="4"/>
  <c r="E466" i="4"/>
  <c r="F466" i="4"/>
  <c r="G466" i="4"/>
  <c r="H466" i="4"/>
  <c r="I466" i="4"/>
  <c r="J466" i="4"/>
  <c r="K466" i="4"/>
  <c r="B467" i="4"/>
  <c r="C467" i="4"/>
  <c r="D467" i="4"/>
  <c r="E467" i="4"/>
  <c r="F467" i="4"/>
  <c r="G467" i="4"/>
  <c r="H467" i="4"/>
  <c r="I467" i="4"/>
  <c r="J467" i="4"/>
  <c r="K467" i="4"/>
  <c r="B468" i="4"/>
  <c r="C468" i="4"/>
  <c r="D468" i="4"/>
  <c r="E468" i="4"/>
  <c r="F468" i="4"/>
  <c r="G468" i="4"/>
  <c r="H468" i="4"/>
  <c r="I468" i="4"/>
  <c r="J468" i="4"/>
  <c r="K468" i="4"/>
  <c r="B469" i="4"/>
  <c r="C469" i="4"/>
  <c r="D469" i="4"/>
  <c r="E469" i="4"/>
  <c r="F469" i="4"/>
  <c r="G469" i="4"/>
  <c r="H469" i="4"/>
  <c r="I469" i="4"/>
  <c r="J469" i="4"/>
  <c r="K469" i="4"/>
  <c r="B470" i="4"/>
  <c r="C470" i="4"/>
  <c r="D470" i="4"/>
  <c r="E470" i="4"/>
  <c r="F470" i="4"/>
  <c r="G470" i="4"/>
  <c r="H470" i="4"/>
  <c r="I470" i="4"/>
  <c r="J470" i="4"/>
  <c r="K470" i="4"/>
  <c r="B471" i="4"/>
  <c r="C471" i="4"/>
  <c r="D471" i="4"/>
  <c r="E471" i="4"/>
  <c r="F471" i="4"/>
  <c r="G471" i="4"/>
  <c r="H471" i="4"/>
  <c r="I471" i="4"/>
  <c r="J471" i="4"/>
  <c r="K471" i="4"/>
  <c r="B472" i="4"/>
  <c r="C472" i="4"/>
  <c r="D472" i="4"/>
  <c r="E472" i="4"/>
  <c r="F472" i="4"/>
  <c r="G472" i="4"/>
  <c r="H472" i="4"/>
  <c r="I472" i="4"/>
  <c r="J472" i="4"/>
  <c r="K472" i="4"/>
  <c r="B473" i="4"/>
  <c r="C473" i="4"/>
  <c r="D473" i="4"/>
  <c r="E473" i="4"/>
  <c r="F473" i="4"/>
  <c r="G473" i="4"/>
  <c r="H473" i="4"/>
  <c r="I473" i="4"/>
  <c r="J473" i="4"/>
  <c r="K473" i="4"/>
  <c r="B474" i="4"/>
  <c r="C474" i="4"/>
  <c r="D474" i="4"/>
  <c r="E474" i="4"/>
  <c r="F474" i="4"/>
  <c r="G474" i="4"/>
  <c r="H474" i="4"/>
  <c r="I474" i="4"/>
  <c r="J474" i="4"/>
  <c r="K474" i="4"/>
  <c r="B475" i="4"/>
  <c r="C475" i="4"/>
  <c r="D475" i="4"/>
  <c r="E475" i="4"/>
  <c r="F475" i="4"/>
  <c r="G475" i="4"/>
  <c r="H475" i="4"/>
  <c r="I475" i="4"/>
  <c r="J475" i="4"/>
  <c r="K475" i="4"/>
  <c r="B476" i="4"/>
  <c r="C476" i="4"/>
  <c r="D476" i="4"/>
  <c r="E476" i="4"/>
  <c r="F476" i="4"/>
  <c r="G476" i="4"/>
  <c r="H476" i="4"/>
  <c r="I476" i="4"/>
  <c r="J476" i="4"/>
  <c r="K476" i="4"/>
  <c r="B477" i="4"/>
  <c r="C477" i="4"/>
  <c r="D477" i="4"/>
  <c r="E477" i="4"/>
  <c r="F477" i="4"/>
  <c r="G477" i="4"/>
  <c r="H477" i="4"/>
  <c r="I477" i="4"/>
  <c r="J477" i="4"/>
  <c r="K477" i="4"/>
  <c r="B478" i="4"/>
  <c r="C478" i="4"/>
  <c r="D478" i="4"/>
  <c r="E478" i="4"/>
  <c r="F478" i="4"/>
  <c r="G478" i="4"/>
  <c r="H478" i="4"/>
  <c r="I478" i="4"/>
  <c r="J478" i="4"/>
  <c r="K478" i="4"/>
  <c r="B479" i="4"/>
  <c r="C479" i="4"/>
  <c r="D479" i="4"/>
  <c r="E479" i="4"/>
  <c r="F479" i="4"/>
  <c r="G479" i="4"/>
  <c r="H479" i="4"/>
  <c r="I479" i="4"/>
  <c r="J479" i="4"/>
  <c r="K479" i="4"/>
  <c r="B480" i="4"/>
  <c r="C480" i="4"/>
  <c r="D480" i="4"/>
  <c r="E480" i="4"/>
  <c r="F480" i="4"/>
  <c r="G480" i="4"/>
  <c r="H480" i="4"/>
  <c r="I480" i="4"/>
  <c r="J480" i="4"/>
  <c r="K480" i="4"/>
  <c r="B481" i="4"/>
  <c r="C481" i="4"/>
  <c r="D481" i="4"/>
  <c r="E481" i="4"/>
  <c r="F481" i="4"/>
  <c r="G481" i="4"/>
  <c r="H481" i="4"/>
  <c r="I481" i="4"/>
  <c r="J481" i="4"/>
  <c r="K481" i="4"/>
  <c r="B482" i="4"/>
  <c r="C482" i="4"/>
  <c r="D482" i="4"/>
  <c r="E482" i="4"/>
  <c r="F482" i="4"/>
  <c r="G482" i="4"/>
  <c r="H482" i="4"/>
  <c r="I482" i="4"/>
  <c r="J482" i="4"/>
  <c r="K482" i="4"/>
  <c r="B483" i="4"/>
  <c r="C483" i="4"/>
  <c r="D483" i="4"/>
  <c r="E483" i="4"/>
  <c r="F483" i="4"/>
  <c r="G483" i="4"/>
  <c r="H483" i="4"/>
  <c r="I483" i="4"/>
  <c r="J483" i="4"/>
  <c r="K483" i="4"/>
  <c r="B484" i="4"/>
  <c r="C484" i="4"/>
  <c r="D484" i="4"/>
  <c r="E484" i="4"/>
  <c r="F484" i="4"/>
  <c r="G484" i="4"/>
  <c r="H484" i="4"/>
  <c r="I484" i="4"/>
  <c r="J484" i="4"/>
  <c r="K484" i="4"/>
  <c r="B485" i="4"/>
  <c r="C485" i="4"/>
  <c r="D485" i="4"/>
  <c r="E485" i="4"/>
  <c r="F485" i="4"/>
  <c r="G485" i="4"/>
  <c r="H485" i="4"/>
  <c r="I485" i="4"/>
  <c r="J485" i="4"/>
  <c r="K485" i="4"/>
  <c r="B486" i="4"/>
  <c r="C486" i="4"/>
  <c r="D486" i="4"/>
  <c r="E486" i="4"/>
  <c r="F486" i="4"/>
  <c r="G486" i="4"/>
  <c r="H486" i="4"/>
  <c r="I486" i="4"/>
  <c r="J486" i="4"/>
  <c r="K486" i="4"/>
  <c r="B487" i="4"/>
  <c r="C487" i="4"/>
  <c r="D487" i="4"/>
  <c r="E487" i="4"/>
  <c r="F487" i="4"/>
  <c r="G487" i="4"/>
  <c r="H487" i="4"/>
  <c r="I487" i="4"/>
  <c r="J487" i="4"/>
  <c r="K487" i="4"/>
  <c r="B488" i="4"/>
  <c r="C488" i="4"/>
  <c r="D488" i="4"/>
  <c r="E488" i="4"/>
  <c r="F488" i="4"/>
  <c r="G488" i="4"/>
  <c r="H488" i="4"/>
  <c r="I488" i="4"/>
  <c r="J488" i="4"/>
  <c r="K488" i="4"/>
  <c r="B489" i="4"/>
  <c r="C489" i="4"/>
  <c r="D489" i="4"/>
  <c r="E489" i="4"/>
  <c r="F489" i="4"/>
  <c r="G489" i="4"/>
  <c r="H489" i="4"/>
  <c r="I489" i="4"/>
  <c r="J489" i="4"/>
  <c r="K489" i="4"/>
  <c r="B490" i="4"/>
  <c r="C490" i="4"/>
  <c r="D490" i="4"/>
  <c r="E490" i="4"/>
  <c r="F490" i="4"/>
  <c r="G490" i="4"/>
  <c r="H490" i="4"/>
  <c r="I490" i="4"/>
  <c r="J490" i="4"/>
  <c r="K490" i="4"/>
  <c r="B491" i="4"/>
  <c r="C491" i="4"/>
  <c r="D491" i="4"/>
  <c r="E491" i="4"/>
  <c r="F491" i="4"/>
  <c r="G491" i="4"/>
  <c r="H491" i="4"/>
  <c r="I491" i="4"/>
  <c r="J491" i="4"/>
  <c r="K491" i="4"/>
  <c r="B492" i="4"/>
  <c r="C492" i="4"/>
  <c r="D492" i="4"/>
  <c r="E492" i="4"/>
  <c r="F492" i="4"/>
  <c r="G492" i="4"/>
  <c r="H492" i="4"/>
  <c r="I492" i="4"/>
  <c r="J492" i="4"/>
  <c r="K492" i="4"/>
  <c r="B493" i="4"/>
  <c r="C493" i="4"/>
  <c r="D493" i="4"/>
  <c r="E493" i="4"/>
  <c r="F493" i="4"/>
  <c r="G493" i="4"/>
  <c r="H493" i="4"/>
  <c r="I493" i="4"/>
  <c r="J493" i="4"/>
  <c r="K493" i="4"/>
  <c r="B494" i="4"/>
  <c r="C494" i="4"/>
  <c r="D494" i="4"/>
  <c r="E494" i="4"/>
  <c r="F494" i="4"/>
  <c r="G494" i="4"/>
  <c r="H494" i="4"/>
  <c r="I494" i="4"/>
  <c r="J494" i="4"/>
  <c r="K494" i="4"/>
  <c r="B495" i="4"/>
  <c r="C495" i="4"/>
  <c r="D495" i="4"/>
  <c r="E495" i="4"/>
  <c r="F495" i="4"/>
  <c r="G495" i="4"/>
  <c r="H495" i="4"/>
  <c r="I495" i="4"/>
  <c r="J495" i="4"/>
  <c r="K495" i="4"/>
  <c r="B496" i="4"/>
  <c r="C496" i="4"/>
  <c r="D496" i="4"/>
  <c r="E496" i="4"/>
  <c r="F496" i="4"/>
  <c r="G496" i="4"/>
  <c r="H496" i="4"/>
  <c r="I496" i="4"/>
  <c r="J496" i="4"/>
  <c r="K496" i="4"/>
  <c r="B497" i="4"/>
  <c r="C497" i="4"/>
  <c r="D497" i="4"/>
  <c r="E497" i="4"/>
  <c r="F497" i="4"/>
  <c r="G497" i="4"/>
  <c r="H497" i="4"/>
  <c r="I497" i="4"/>
  <c r="J497" i="4"/>
  <c r="K497" i="4"/>
  <c r="B498" i="4"/>
  <c r="C498" i="4"/>
  <c r="D498" i="4"/>
  <c r="E498" i="4"/>
  <c r="F498" i="4"/>
  <c r="G498" i="4"/>
  <c r="H498" i="4"/>
  <c r="I498" i="4"/>
  <c r="J498" i="4"/>
  <c r="K498" i="4"/>
  <c r="B499" i="4"/>
  <c r="C499" i="4"/>
  <c r="D499" i="4"/>
  <c r="E499" i="4"/>
  <c r="F499" i="4"/>
  <c r="G499" i="4"/>
  <c r="H499" i="4"/>
  <c r="I499" i="4"/>
  <c r="J499" i="4"/>
  <c r="K499" i="4"/>
  <c r="B500" i="4"/>
  <c r="C500" i="4"/>
  <c r="D500" i="4"/>
  <c r="E500" i="4"/>
  <c r="F500" i="4"/>
  <c r="G500" i="4"/>
  <c r="H500" i="4"/>
  <c r="I500" i="4"/>
  <c r="J500" i="4"/>
  <c r="K500" i="4"/>
  <c r="B501" i="4"/>
  <c r="C501" i="4"/>
  <c r="D501" i="4"/>
  <c r="E501" i="4"/>
  <c r="F501" i="4"/>
  <c r="G501" i="4"/>
  <c r="H501" i="4"/>
  <c r="I501" i="4"/>
  <c r="J501" i="4"/>
  <c r="K501" i="4"/>
  <c r="B502" i="4"/>
  <c r="C502" i="4"/>
  <c r="D502" i="4"/>
  <c r="E502" i="4"/>
  <c r="F502" i="4"/>
  <c r="G502" i="4"/>
  <c r="H502" i="4"/>
  <c r="I502" i="4"/>
  <c r="J502" i="4"/>
  <c r="K502" i="4"/>
  <c r="B503" i="4"/>
  <c r="C503" i="4"/>
  <c r="D503" i="4"/>
  <c r="E503" i="4"/>
  <c r="F503" i="4"/>
  <c r="G503" i="4"/>
  <c r="H503" i="4"/>
  <c r="I503" i="4"/>
  <c r="J503" i="4"/>
  <c r="K503" i="4"/>
  <c r="B504" i="4"/>
  <c r="C504" i="4"/>
  <c r="D504" i="4"/>
  <c r="E504" i="4"/>
  <c r="F504" i="4"/>
  <c r="G504" i="4"/>
  <c r="H504" i="4"/>
  <c r="I504" i="4"/>
  <c r="J504" i="4"/>
  <c r="K504" i="4"/>
  <c r="B505" i="4"/>
  <c r="C505" i="4"/>
  <c r="D505" i="4"/>
  <c r="E505" i="4"/>
  <c r="F505" i="4"/>
  <c r="G505" i="4"/>
  <c r="H505" i="4"/>
  <c r="I505" i="4"/>
  <c r="J505" i="4"/>
  <c r="K505" i="4"/>
  <c r="B506" i="4"/>
  <c r="C506" i="4"/>
  <c r="D506" i="4"/>
  <c r="E506" i="4"/>
  <c r="F506" i="4"/>
  <c r="G506" i="4"/>
  <c r="H506" i="4"/>
  <c r="I506" i="4"/>
  <c r="J506" i="4"/>
  <c r="K506" i="4"/>
  <c r="B507" i="4"/>
  <c r="C507" i="4"/>
  <c r="D507" i="4"/>
  <c r="E507" i="4"/>
  <c r="F507" i="4"/>
  <c r="G507" i="4"/>
  <c r="H507" i="4"/>
  <c r="I507" i="4"/>
  <c r="J507" i="4"/>
  <c r="K507" i="4"/>
  <c r="B508" i="4"/>
  <c r="C508" i="4"/>
  <c r="D508" i="4"/>
  <c r="E508" i="4"/>
  <c r="F508" i="4"/>
  <c r="G508" i="4"/>
  <c r="H508" i="4"/>
  <c r="I508" i="4"/>
  <c r="J508" i="4"/>
  <c r="K508" i="4"/>
  <c r="B509" i="4"/>
  <c r="C509" i="4"/>
  <c r="D509" i="4"/>
  <c r="E509" i="4"/>
  <c r="F509" i="4"/>
  <c r="G509" i="4"/>
  <c r="H509" i="4"/>
  <c r="I509" i="4"/>
  <c r="J509" i="4"/>
  <c r="K509" i="4"/>
  <c r="B510" i="4"/>
  <c r="C510" i="4"/>
  <c r="D510" i="4"/>
  <c r="E510" i="4"/>
  <c r="F510" i="4"/>
  <c r="G510" i="4"/>
  <c r="H510" i="4"/>
  <c r="I510" i="4"/>
  <c r="J510" i="4"/>
  <c r="K510" i="4"/>
  <c r="B511" i="4"/>
  <c r="C511" i="4"/>
  <c r="D511" i="4"/>
  <c r="E511" i="4"/>
  <c r="F511" i="4"/>
  <c r="G511" i="4"/>
  <c r="H511" i="4"/>
  <c r="I511" i="4"/>
  <c r="J511" i="4"/>
  <c r="K511" i="4"/>
  <c r="B512" i="4"/>
  <c r="C512" i="4"/>
  <c r="D512" i="4"/>
  <c r="E512" i="4"/>
  <c r="F512" i="4"/>
  <c r="G512" i="4"/>
  <c r="H512" i="4"/>
  <c r="I512" i="4"/>
  <c r="J512" i="4"/>
  <c r="K512" i="4"/>
  <c r="B513" i="4"/>
  <c r="C513" i="4"/>
  <c r="D513" i="4"/>
  <c r="E513" i="4"/>
  <c r="F513" i="4"/>
  <c r="G513" i="4"/>
  <c r="H513" i="4"/>
  <c r="I513" i="4"/>
  <c r="J513" i="4"/>
  <c r="K513" i="4"/>
  <c r="B514" i="4"/>
  <c r="C514" i="4"/>
  <c r="D514" i="4"/>
  <c r="E514" i="4"/>
  <c r="F514" i="4"/>
  <c r="G514" i="4"/>
  <c r="H514" i="4"/>
  <c r="I514" i="4"/>
  <c r="J514" i="4"/>
  <c r="K514" i="4"/>
  <c r="B515" i="4"/>
  <c r="C515" i="4"/>
  <c r="D515" i="4"/>
  <c r="E515" i="4"/>
  <c r="F515" i="4"/>
  <c r="G515" i="4"/>
  <c r="H515" i="4"/>
  <c r="I515" i="4"/>
  <c r="J515" i="4"/>
  <c r="K515" i="4"/>
  <c r="B516" i="4"/>
  <c r="C516" i="4"/>
  <c r="D516" i="4"/>
  <c r="E516" i="4"/>
  <c r="F516" i="4"/>
  <c r="G516" i="4"/>
  <c r="H516" i="4"/>
  <c r="I516" i="4"/>
  <c r="J516" i="4"/>
  <c r="K516" i="4"/>
  <c r="B517" i="4"/>
  <c r="C517" i="4"/>
  <c r="D517" i="4"/>
  <c r="E517" i="4"/>
  <c r="F517" i="4"/>
  <c r="G517" i="4"/>
  <c r="H517" i="4"/>
  <c r="I517" i="4"/>
  <c r="J517" i="4"/>
  <c r="K517" i="4"/>
  <c r="B518" i="4"/>
  <c r="C518" i="4"/>
  <c r="D518" i="4"/>
  <c r="E518" i="4"/>
  <c r="F518" i="4"/>
  <c r="G518" i="4"/>
  <c r="H518" i="4"/>
  <c r="I518" i="4"/>
  <c r="J518" i="4"/>
  <c r="K518" i="4"/>
  <c r="B519" i="4"/>
  <c r="C519" i="4"/>
  <c r="D519" i="4"/>
  <c r="E519" i="4"/>
  <c r="F519" i="4"/>
  <c r="G519" i="4"/>
  <c r="H519" i="4"/>
  <c r="I519" i="4"/>
  <c r="J519" i="4"/>
  <c r="K519" i="4"/>
  <c r="B520" i="4"/>
  <c r="C520" i="4"/>
  <c r="D520" i="4"/>
  <c r="E520" i="4"/>
  <c r="F520" i="4"/>
  <c r="G520" i="4"/>
  <c r="H520" i="4"/>
  <c r="I520" i="4"/>
  <c r="J520" i="4"/>
  <c r="K520" i="4"/>
  <c r="B521" i="4"/>
  <c r="C521" i="4"/>
  <c r="D521" i="4"/>
  <c r="E521" i="4"/>
  <c r="F521" i="4"/>
  <c r="G521" i="4"/>
  <c r="H521" i="4"/>
  <c r="I521" i="4"/>
  <c r="J521" i="4"/>
  <c r="K521" i="4"/>
  <c r="B522" i="4"/>
  <c r="C522" i="4"/>
  <c r="D522" i="4"/>
  <c r="E522" i="4"/>
  <c r="F522" i="4"/>
  <c r="G522" i="4"/>
  <c r="H522" i="4"/>
  <c r="I522" i="4"/>
  <c r="J522" i="4"/>
  <c r="K522" i="4"/>
  <c r="B523" i="4"/>
  <c r="C523" i="4"/>
  <c r="D523" i="4"/>
  <c r="E523" i="4"/>
  <c r="F523" i="4"/>
  <c r="G523" i="4"/>
  <c r="H523" i="4"/>
  <c r="I523" i="4"/>
  <c r="J523" i="4"/>
  <c r="K523" i="4"/>
  <c r="B524" i="4"/>
  <c r="C524" i="4"/>
  <c r="D524" i="4"/>
  <c r="E524" i="4"/>
  <c r="F524" i="4"/>
  <c r="G524" i="4"/>
  <c r="H524" i="4"/>
  <c r="I524" i="4"/>
  <c r="J524" i="4"/>
  <c r="K524" i="4"/>
  <c r="B525" i="4"/>
  <c r="C525" i="4"/>
  <c r="D525" i="4"/>
  <c r="E525" i="4"/>
  <c r="F525" i="4"/>
  <c r="G525" i="4"/>
  <c r="H525" i="4"/>
  <c r="I525" i="4"/>
  <c r="J525" i="4"/>
  <c r="K525" i="4"/>
  <c r="B526" i="4"/>
  <c r="C526" i="4"/>
  <c r="D526" i="4"/>
  <c r="E526" i="4"/>
  <c r="F526" i="4"/>
  <c r="G526" i="4"/>
  <c r="H526" i="4"/>
  <c r="I526" i="4"/>
  <c r="J526" i="4"/>
  <c r="K526" i="4"/>
  <c r="B527" i="4"/>
  <c r="C527" i="4"/>
  <c r="D527" i="4"/>
  <c r="E527" i="4"/>
  <c r="F527" i="4"/>
  <c r="G527" i="4"/>
  <c r="H527" i="4"/>
  <c r="I527" i="4"/>
  <c r="J527" i="4"/>
  <c r="K527" i="4"/>
  <c r="B528" i="4"/>
  <c r="C528" i="4"/>
  <c r="D528" i="4"/>
  <c r="E528" i="4"/>
  <c r="F528" i="4"/>
  <c r="G528" i="4"/>
  <c r="H528" i="4"/>
  <c r="I528" i="4"/>
  <c r="J528" i="4"/>
  <c r="K528" i="4"/>
  <c r="B529" i="4"/>
  <c r="C529" i="4"/>
  <c r="D529" i="4"/>
  <c r="E529" i="4"/>
  <c r="F529" i="4"/>
  <c r="G529" i="4"/>
  <c r="H529" i="4"/>
  <c r="I529" i="4"/>
  <c r="J529" i="4"/>
  <c r="K529" i="4"/>
  <c r="B530" i="4"/>
  <c r="C530" i="4"/>
  <c r="D530" i="4"/>
  <c r="E530" i="4"/>
  <c r="F530" i="4"/>
  <c r="G530" i="4"/>
  <c r="H530" i="4"/>
  <c r="I530" i="4"/>
  <c r="J530" i="4"/>
  <c r="K530" i="4"/>
  <c r="B531" i="4"/>
  <c r="C531" i="4"/>
  <c r="D531" i="4"/>
  <c r="E531" i="4"/>
  <c r="F531" i="4"/>
  <c r="G531" i="4"/>
  <c r="H531" i="4"/>
  <c r="I531" i="4"/>
  <c r="J531" i="4"/>
  <c r="K531" i="4"/>
  <c r="B532" i="4"/>
  <c r="C532" i="4"/>
  <c r="D532" i="4"/>
  <c r="E532" i="4"/>
  <c r="F532" i="4"/>
  <c r="G532" i="4"/>
  <c r="H532" i="4"/>
  <c r="I532" i="4"/>
  <c r="J532" i="4"/>
  <c r="K532" i="4"/>
  <c r="B533" i="4"/>
  <c r="C533" i="4"/>
  <c r="D533" i="4"/>
  <c r="E533" i="4"/>
  <c r="F533" i="4"/>
  <c r="G533" i="4"/>
  <c r="H533" i="4"/>
  <c r="I533" i="4"/>
  <c r="J533" i="4"/>
  <c r="K533" i="4"/>
  <c r="B534" i="4"/>
  <c r="C534" i="4"/>
  <c r="D534" i="4"/>
  <c r="E534" i="4"/>
  <c r="F534" i="4"/>
  <c r="G534" i="4"/>
  <c r="H534" i="4"/>
  <c r="I534" i="4"/>
  <c r="J534" i="4"/>
  <c r="K534" i="4"/>
  <c r="B535" i="4"/>
  <c r="C535" i="4"/>
  <c r="D535" i="4"/>
  <c r="E535" i="4"/>
  <c r="F535" i="4"/>
  <c r="G535" i="4"/>
  <c r="H535" i="4"/>
  <c r="I535" i="4"/>
  <c r="J535" i="4"/>
  <c r="K535" i="4"/>
  <c r="B536" i="4"/>
  <c r="C536" i="4"/>
  <c r="D536" i="4"/>
  <c r="E536" i="4"/>
  <c r="F536" i="4"/>
  <c r="G536" i="4"/>
  <c r="H536" i="4"/>
  <c r="I536" i="4"/>
  <c r="J536" i="4"/>
  <c r="K536" i="4"/>
  <c r="B537" i="4"/>
  <c r="C537" i="4"/>
  <c r="D537" i="4"/>
  <c r="E537" i="4"/>
  <c r="F537" i="4"/>
  <c r="G537" i="4"/>
  <c r="H537" i="4"/>
  <c r="I537" i="4"/>
  <c r="J537" i="4"/>
  <c r="K537" i="4"/>
  <c r="B538" i="4"/>
  <c r="C538" i="4"/>
  <c r="D538" i="4"/>
  <c r="E538" i="4"/>
  <c r="F538" i="4"/>
  <c r="G538" i="4"/>
  <c r="H538" i="4"/>
  <c r="I538" i="4"/>
  <c r="J538" i="4"/>
  <c r="K538" i="4"/>
  <c r="B539" i="4"/>
  <c r="C539" i="4"/>
  <c r="D539" i="4"/>
  <c r="E539" i="4"/>
  <c r="F539" i="4"/>
  <c r="G539" i="4"/>
  <c r="H539" i="4"/>
  <c r="I539" i="4"/>
  <c r="J539" i="4"/>
  <c r="K539" i="4"/>
  <c r="B540" i="4"/>
  <c r="C540" i="4"/>
  <c r="D540" i="4"/>
  <c r="E540" i="4"/>
  <c r="F540" i="4"/>
  <c r="G540" i="4"/>
  <c r="H540" i="4"/>
  <c r="I540" i="4"/>
  <c r="J540" i="4"/>
  <c r="K540" i="4"/>
  <c r="B541" i="4"/>
  <c r="C541" i="4"/>
  <c r="D541" i="4"/>
  <c r="E541" i="4"/>
  <c r="F541" i="4"/>
  <c r="G541" i="4"/>
  <c r="H541" i="4"/>
  <c r="I541" i="4"/>
  <c r="J541" i="4"/>
  <c r="K541" i="4"/>
  <c r="B542" i="4"/>
  <c r="C542" i="4"/>
  <c r="D542" i="4"/>
  <c r="E542" i="4"/>
  <c r="F542" i="4"/>
  <c r="G542" i="4"/>
  <c r="H542" i="4"/>
  <c r="I542" i="4"/>
  <c r="J542" i="4"/>
  <c r="K542" i="4"/>
  <c r="B543" i="4"/>
  <c r="C543" i="4"/>
  <c r="D543" i="4"/>
  <c r="E543" i="4"/>
  <c r="F543" i="4"/>
  <c r="G543" i="4"/>
  <c r="H543" i="4"/>
  <c r="I543" i="4"/>
  <c r="J543" i="4"/>
  <c r="K543" i="4"/>
  <c r="B544" i="4"/>
  <c r="C544" i="4"/>
  <c r="D544" i="4"/>
  <c r="E544" i="4"/>
  <c r="F544" i="4"/>
  <c r="G544" i="4"/>
  <c r="H544" i="4"/>
  <c r="I544" i="4"/>
  <c r="J544" i="4"/>
  <c r="K544" i="4"/>
  <c r="B545" i="4"/>
  <c r="C545" i="4"/>
  <c r="D545" i="4"/>
  <c r="E545" i="4"/>
  <c r="F545" i="4"/>
  <c r="G545" i="4"/>
  <c r="H545" i="4"/>
  <c r="I545" i="4"/>
  <c r="J545" i="4"/>
  <c r="K545" i="4"/>
  <c r="B546" i="4"/>
  <c r="C546" i="4"/>
  <c r="D546" i="4"/>
  <c r="E546" i="4"/>
  <c r="F546" i="4"/>
  <c r="G546" i="4"/>
  <c r="H546" i="4"/>
  <c r="I546" i="4"/>
  <c r="J546" i="4"/>
  <c r="K546" i="4"/>
  <c r="B547" i="4"/>
  <c r="C547" i="4"/>
  <c r="D547" i="4"/>
  <c r="E547" i="4"/>
  <c r="F547" i="4"/>
  <c r="G547" i="4"/>
  <c r="H547" i="4"/>
  <c r="I547" i="4"/>
  <c r="J547" i="4"/>
  <c r="K547" i="4"/>
  <c r="B548" i="4"/>
  <c r="C548" i="4"/>
  <c r="D548" i="4"/>
  <c r="E548" i="4"/>
  <c r="F548" i="4"/>
  <c r="G548" i="4"/>
  <c r="H548" i="4"/>
  <c r="I548" i="4"/>
  <c r="J548" i="4"/>
  <c r="K548" i="4"/>
  <c r="B549" i="4"/>
  <c r="C549" i="4"/>
  <c r="D549" i="4"/>
  <c r="E549" i="4"/>
  <c r="F549" i="4"/>
  <c r="G549" i="4"/>
  <c r="H549" i="4"/>
  <c r="I549" i="4"/>
  <c r="J549" i="4"/>
  <c r="K549" i="4"/>
  <c r="B550" i="4"/>
  <c r="C550" i="4"/>
  <c r="D550" i="4"/>
  <c r="E550" i="4"/>
  <c r="F550" i="4"/>
  <c r="G550" i="4"/>
  <c r="H550" i="4"/>
  <c r="I550" i="4"/>
  <c r="J550" i="4"/>
  <c r="K550" i="4"/>
  <c r="B551" i="4"/>
  <c r="C551" i="4"/>
  <c r="D551" i="4"/>
  <c r="E551" i="4"/>
  <c r="F551" i="4"/>
  <c r="G551" i="4"/>
  <c r="H551" i="4"/>
  <c r="I551" i="4"/>
  <c r="J551" i="4"/>
  <c r="K551" i="4"/>
  <c r="B552" i="4"/>
  <c r="C552" i="4"/>
  <c r="D552" i="4"/>
  <c r="E552" i="4"/>
  <c r="F552" i="4"/>
  <c r="G552" i="4"/>
  <c r="H552" i="4"/>
  <c r="I552" i="4"/>
  <c r="J552" i="4"/>
  <c r="K552" i="4"/>
  <c r="B553" i="4"/>
  <c r="C553" i="4"/>
  <c r="D553" i="4"/>
  <c r="E553" i="4"/>
  <c r="F553" i="4"/>
  <c r="G553" i="4"/>
  <c r="H553" i="4"/>
  <c r="I553" i="4"/>
  <c r="J553" i="4"/>
  <c r="K553" i="4"/>
  <c r="B554" i="4"/>
  <c r="C554" i="4"/>
  <c r="D554" i="4"/>
  <c r="E554" i="4"/>
  <c r="F554" i="4"/>
  <c r="G554" i="4"/>
  <c r="H554" i="4"/>
  <c r="I554" i="4"/>
  <c r="J554" i="4"/>
  <c r="K554" i="4"/>
  <c r="B555" i="4"/>
  <c r="C555" i="4"/>
  <c r="D555" i="4"/>
  <c r="E555" i="4"/>
  <c r="F555" i="4"/>
  <c r="G555" i="4"/>
  <c r="H555" i="4"/>
  <c r="I555" i="4"/>
  <c r="J555" i="4"/>
  <c r="K555" i="4"/>
  <c r="B556" i="4"/>
  <c r="C556" i="4"/>
  <c r="D556" i="4"/>
  <c r="E556" i="4"/>
  <c r="F556" i="4"/>
  <c r="G556" i="4"/>
  <c r="H556" i="4"/>
  <c r="I556" i="4"/>
  <c r="J556" i="4"/>
  <c r="K556" i="4"/>
  <c r="B557" i="4"/>
  <c r="C557" i="4"/>
  <c r="D557" i="4"/>
  <c r="E557" i="4"/>
  <c r="F557" i="4"/>
  <c r="G557" i="4"/>
  <c r="H557" i="4"/>
  <c r="I557" i="4"/>
  <c r="J557" i="4"/>
  <c r="K557" i="4"/>
  <c r="B558" i="4"/>
  <c r="C558" i="4"/>
  <c r="D558" i="4"/>
  <c r="E558" i="4"/>
  <c r="F558" i="4"/>
  <c r="G558" i="4"/>
  <c r="H558" i="4"/>
  <c r="I558" i="4"/>
  <c r="J558" i="4"/>
  <c r="K558" i="4"/>
  <c r="B559" i="4"/>
  <c r="C559" i="4"/>
  <c r="D559" i="4"/>
  <c r="E559" i="4"/>
  <c r="F559" i="4"/>
  <c r="G559" i="4"/>
  <c r="H559" i="4"/>
  <c r="I559" i="4"/>
  <c r="J559" i="4"/>
  <c r="K559" i="4"/>
  <c r="B560" i="4"/>
  <c r="C560" i="4"/>
  <c r="D560" i="4"/>
  <c r="E560" i="4"/>
  <c r="F560" i="4"/>
  <c r="G560" i="4"/>
  <c r="H560" i="4"/>
  <c r="I560" i="4"/>
  <c r="J560" i="4"/>
  <c r="K560" i="4"/>
  <c r="B561" i="4"/>
  <c r="C561" i="4"/>
  <c r="D561" i="4"/>
  <c r="E561" i="4"/>
  <c r="F561" i="4"/>
  <c r="G561" i="4"/>
  <c r="H561" i="4"/>
  <c r="I561" i="4"/>
  <c r="J561" i="4"/>
  <c r="K561" i="4"/>
  <c r="B562" i="4"/>
  <c r="C562" i="4"/>
  <c r="D562" i="4"/>
  <c r="E562" i="4"/>
  <c r="F562" i="4"/>
  <c r="G562" i="4"/>
  <c r="H562" i="4"/>
  <c r="I562" i="4"/>
  <c r="J562" i="4"/>
  <c r="K562" i="4"/>
  <c r="B563" i="4"/>
  <c r="C563" i="4"/>
  <c r="D563" i="4"/>
  <c r="E563" i="4"/>
  <c r="F563" i="4"/>
  <c r="G563" i="4"/>
  <c r="H563" i="4"/>
  <c r="I563" i="4"/>
  <c r="J563" i="4"/>
  <c r="K563" i="4"/>
  <c r="B564" i="4"/>
  <c r="C564" i="4"/>
  <c r="D564" i="4"/>
  <c r="E564" i="4"/>
  <c r="F564" i="4"/>
  <c r="G564" i="4"/>
  <c r="H564" i="4"/>
  <c r="I564" i="4"/>
  <c r="J564" i="4"/>
  <c r="K564" i="4"/>
  <c r="B565" i="4"/>
  <c r="C565" i="4"/>
  <c r="D565" i="4"/>
  <c r="E565" i="4"/>
  <c r="F565" i="4"/>
  <c r="G565" i="4"/>
  <c r="H565" i="4"/>
  <c r="I565" i="4"/>
  <c r="J565" i="4"/>
  <c r="K565" i="4"/>
  <c r="B566" i="4"/>
  <c r="C566" i="4"/>
  <c r="D566" i="4"/>
  <c r="E566" i="4"/>
  <c r="F566" i="4"/>
  <c r="G566" i="4"/>
  <c r="H566" i="4"/>
  <c r="I566" i="4"/>
  <c r="J566" i="4"/>
  <c r="K566" i="4"/>
  <c r="B567" i="4"/>
  <c r="C567" i="4"/>
  <c r="D567" i="4"/>
  <c r="E567" i="4"/>
  <c r="F567" i="4"/>
  <c r="G567" i="4"/>
  <c r="H567" i="4"/>
  <c r="I567" i="4"/>
  <c r="J567" i="4"/>
  <c r="K567" i="4"/>
  <c r="B568" i="4"/>
  <c r="C568" i="4"/>
  <c r="D568" i="4"/>
  <c r="E568" i="4"/>
  <c r="F568" i="4"/>
  <c r="G568" i="4"/>
  <c r="H568" i="4"/>
  <c r="I568" i="4"/>
  <c r="J568" i="4"/>
  <c r="K568" i="4"/>
  <c r="B569" i="4"/>
  <c r="C569" i="4"/>
  <c r="D569" i="4"/>
  <c r="E569" i="4"/>
  <c r="F569" i="4"/>
  <c r="G569" i="4"/>
  <c r="H569" i="4"/>
  <c r="I569" i="4"/>
  <c r="J569" i="4"/>
  <c r="K569" i="4"/>
  <c r="B570" i="4"/>
  <c r="C570" i="4"/>
  <c r="D570" i="4"/>
  <c r="E570" i="4"/>
  <c r="F570" i="4"/>
  <c r="G570" i="4"/>
  <c r="H570" i="4"/>
  <c r="I570" i="4"/>
  <c r="J570" i="4"/>
  <c r="K570" i="4"/>
  <c r="B571" i="4"/>
  <c r="C571" i="4"/>
  <c r="D571" i="4"/>
  <c r="E571" i="4"/>
  <c r="F571" i="4"/>
  <c r="G571" i="4"/>
  <c r="H571" i="4"/>
  <c r="I571" i="4"/>
  <c r="J571" i="4"/>
  <c r="K571" i="4"/>
  <c r="B572" i="4"/>
  <c r="C572" i="4"/>
  <c r="D572" i="4"/>
  <c r="E572" i="4"/>
  <c r="F572" i="4"/>
  <c r="G572" i="4"/>
  <c r="H572" i="4"/>
  <c r="I572" i="4"/>
  <c r="J572" i="4"/>
  <c r="K572" i="4"/>
  <c r="B573" i="4"/>
  <c r="C573" i="4"/>
  <c r="D573" i="4"/>
  <c r="E573" i="4"/>
  <c r="F573" i="4"/>
  <c r="G573" i="4"/>
  <c r="H573" i="4"/>
  <c r="I573" i="4"/>
  <c r="J573" i="4"/>
  <c r="K573" i="4"/>
  <c r="B574" i="4"/>
  <c r="C574" i="4"/>
  <c r="D574" i="4"/>
  <c r="E574" i="4"/>
  <c r="F574" i="4"/>
  <c r="G574" i="4"/>
  <c r="H574" i="4"/>
  <c r="I574" i="4"/>
  <c r="J574" i="4"/>
  <c r="K574" i="4"/>
  <c r="B575" i="4"/>
  <c r="C575" i="4"/>
  <c r="D575" i="4"/>
  <c r="E575" i="4"/>
  <c r="F575" i="4"/>
  <c r="G575" i="4"/>
  <c r="H575" i="4"/>
  <c r="I575" i="4"/>
  <c r="J575" i="4"/>
  <c r="K575" i="4"/>
  <c r="B576" i="4"/>
  <c r="C576" i="4"/>
  <c r="D576" i="4"/>
  <c r="E576" i="4"/>
  <c r="F576" i="4"/>
  <c r="G576" i="4"/>
  <c r="H576" i="4"/>
  <c r="I576" i="4"/>
  <c r="J576" i="4"/>
  <c r="K576" i="4"/>
  <c r="B577" i="4"/>
  <c r="C577" i="4"/>
  <c r="D577" i="4"/>
  <c r="E577" i="4"/>
  <c r="F577" i="4"/>
  <c r="G577" i="4"/>
  <c r="H577" i="4"/>
  <c r="I577" i="4"/>
  <c r="J577" i="4"/>
  <c r="K577" i="4"/>
  <c r="B578" i="4"/>
  <c r="C578" i="4"/>
  <c r="D578" i="4"/>
  <c r="E578" i="4"/>
  <c r="F578" i="4"/>
  <c r="G578" i="4"/>
  <c r="H578" i="4"/>
  <c r="I578" i="4"/>
  <c r="J578" i="4"/>
  <c r="K578" i="4"/>
  <c r="B579" i="4"/>
  <c r="C579" i="4"/>
  <c r="D579" i="4"/>
  <c r="E579" i="4"/>
  <c r="F579" i="4"/>
  <c r="G579" i="4"/>
  <c r="H579" i="4"/>
  <c r="I579" i="4"/>
  <c r="J579" i="4"/>
  <c r="K579" i="4"/>
  <c r="B580" i="4"/>
  <c r="C580" i="4"/>
  <c r="D580" i="4"/>
  <c r="E580" i="4"/>
  <c r="F580" i="4"/>
  <c r="G580" i="4"/>
  <c r="H580" i="4"/>
  <c r="I580" i="4"/>
  <c r="J580" i="4"/>
  <c r="K580" i="4"/>
  <c r="B581" i="4"/>
  <c r="C581" i="4"/>
  <c r="D581" i="4"/>
  <c r="E581" i="4"/>
  <c r="F581" i="4"/>
  <c r="G581" i="4"/>
  <c r="H581" i="4"/>
  <c r="I581" i="4"/>
  <c r="J581" i="4"/>
  <c r="K581" i="4"/>
  <c r="B582" i="4"/>
  <c r="C582" i="4"/>
  <c r="D582" i="4"/>
  <c r="E582" i="4"/>
  <c r="F582" i="4"/>
  <c r="G582" i="4"/>
  <c r="H582" i="4"/>
  <c r="I582" i="4"/>
  <c r="J582" i="4"/>
  <c r="K582" i="4"/>
  <c r="B583" i="4"/>
  <c r="C583" i="4"/>
  <c r="D583" i="4"/>
  <c r="E583" i="4"/>
  <c r="F583" i="4"/>
  <c r="G583" i="4"/>
  <c r="H583" i="4"/>
  <c r="I583" i="4"/>
  <c r="J583" i="4"/>
  <c r="K583" i="4"/>
  <c r="B584" i="4"/>
  <c r="C584" i="4"/>
  <c r="D584" i="4"/>
  <c r="E584" i="4"/>
  <c r="F584" i="4"/>
  <c r="G584" i="4"/>
  <c r="H584" i="4"/>
  <c r="I584" i="4"/>
  <c r="J584" i="4"/>
  <c r="K584" i="4"/>
  <c r="B585" i="4"/>
  <c r="C585" i="4"/>
  <c r="D585" i="4"/>
  <c r="E585" i="4"/>
  <c r="F585" i="4"/>
  <c r="G585" i="4"/>
  <c r="H585" i="4"/>
  <c r="I585" i="4"/>
  <c r="J585" i="4"/>
  <c r="K585" i="4"/>
  <c r="B586" i="4"/>
  <c r="C586" i="4"/>
  <c r="D586" i="4"/>
  <c r="E586" i="4"/>
  <c r="F586" i="4"/>
  <c r="G586" i="4"/>
  <c r="H586" i="4"/>
  <c r="I586" i="4"/>
  <c r="J586" i="4"/>
  <c r="K586" i="4"/>
  <c r="B587" i="4"/>
  <c r="C587" i="4"/>
  <c r="D587" i="4"/>
  <c r="E587" i="4"/>
  <c r="F587" i="4"/>
  <c r="G587" i="4"/>
  <c r="H587" i="4"/>
  <c r="I587" i="4"/>
  <c r="J587" i="4"/>
  <c r="K587" i="4"/>
  <c r="B588" i="4"/>
  <c r="C588" i="4"/>
  <c r="D588" i="4"/>
  <c r="E588" i="4"/>
  <c r="F588" i="4"/>
  <c r="G588" i="4"/>
  <c r="H588" i="4"/>
  <c r="I588" i="4"/>
  <c r="J588" i="4"/>
  <c r="K588" i="4"/>
  <c r="B589" i="4"/>
  <c r="C589" i="4"/>
  <c r="D589" i="4"/>
  <c r="E589" i="4"/>
  <c r="F589" i="4"/>
  <c r="G589" i="4"/>
  <c r="H589" i="4"/>
  <c r="I589" i="4"/>
  <c r="J589" i="4"/>
  <c r="K589" i="4"/>
  <c r="B590" i="4"/>
  <c r="C590" i="4"/>
  <c r="D590" i="4"/>
  <c r="E590" i="4"/>
  <c r="F590" i="4"/>
  <c r="G590" i="4"/>
  <c r="H590" i="4"/>
  <c r="I590" i="4"/>
  <c r="J590" i="4"/>
  <c r="K590" i="4"/>
  <c r="B591" i="4"/>
  <c r="C591" i="4"/>
  <c r="D591" i="4"/>
  <c r="E591" i="4"/>
  <c r="F591" i="4"/>
  <c r="G591" i="4"/>
  <c r="H591" i="4"/>
  <c r="I591" i="4"/>
  <c r="J591" i="4"/>
  <c r="K591" i="4"/>
  <c r="B592" i="4"/>
  <c r="C592" i="4"/>
  <c r="D592" i="4"/>
  <c r="E592" i="4"/>
  <c r="F592" i="4"/>
  <c r="G592" i="4"/>
  <c r="H592" i="4"/>
  <c r="I592" i="4"/>
  <c r="J592" i="4"/>
  <c r="K592" i="4"/>
  <c r="B593" i="4"/>
  <c r="C593" i="4"/>
  <c r="D593" i="4"/>
  <c r="E593" i="4"/>
  <c r="F593" i="4"/>
  <c r="G593" i="4"/>
  <c r="H593" i="4"/>
  <c r="I593" i="4"/>
  <c r="J593" i="4"/>
  <c r="K593" i="4"/>
  <c r="B594" i="4"/>
  <c r="C594" i="4"/>
  <c r="D594" i="4"/>
  <c r="E594" i="4"/>
  <c r="F594" i="4"/>
  <c r="G594" i="4"/>
  <c r="H594" i="4"/>
  <c r="I594" i="4"/>
  <c r="J594" i="4"/>
  <c r="K594" i="4"/>
  <c r="B595" i="4"/>
  <c r="C595" i="4"/>
  <c r="D595" i="4"/>
  <c r="E595" i="4"/>
  <c r="F595" i="4"/>
  <c r="G595" i="4"/>
  <c r="H595" i="4"/>
  <c r="I595" i="4"/>
  <c r="J595" i="4"/>
  <c r="K595" i="4"/>
  <c r="B596" i="4"/>
  <c r="C596" i="4"/>
  <c r="D596" i="4"/>
  <c r="E596" i="4"/>
  <c r="F596" i="4"/>
  <c r="G596" i="4"/>
  <c r="H596" i="4"/>
  <c r="I596" i="4"/>
  <c r="J596" i="4"/>
  <c r="K596" i="4"/>
  <c r="B597" i="4"/>
  <c r="C597" i="4"/>
  <c r="D597" i="4"/>
  <c r="E597" i="4"/>
  <c r="F597" i="4"/>
  <c r="G597" i="4"/>
  <c r="H597" i="4"/>
  <c r="I597" i="4"/>
  <c r="J597" i="4"/>
  <c r="K597" i="4"/>
  <c r="B598" i="4"/>
  <c r="C598" i="4"/>
  <c r="D598" i="4"/>
  <c r="E598" i="4"/>
  <c r="F598" i="4"/>
  <c r="G598" i="4"/>
  <c r="H598" i="4"/>
  <c r="I598" i="4"/>
  <c r="J598" i="4"/>
  <c r="K598" i="4"/>
  <c r="B599" i="4"/>
  <c r="C599" i="4"/>
  <c r="D599" i="4"/>
  <c r="E599" i="4"/>
  <c r="F599" i="4"/>
  <c r="G599" i="4"/>
  <c r="H599" i="4"/>
  <c r="I599" i="4"/>
  <c r="J599" i="4"/>
  <c r="K599" i="4"/>
  <c r="B600" i="4"/>
  <c r="C600" i="4"/>
  <c r="D600" i="4"/>
  <c r="E600" i="4"/>
  <c r="F600" i="4"/>
  <c r="G600" i="4"/>
  <c r="H600" i="4"/>
  <c r="I600" i="4"/>
  <c r="J600" i="4"/>
  <c r="K600" i="4"/>
  <c r="B601" i="4"/>
  <c r="C601" i="4"/>
  <c r="D601" i="4"/>
  <c r="E601" i="4"/>
  <c r="F601" i="4"/>
  <c r="G601" i="4"/>
  <c r="H601" i="4"/>
  <c r="I601" i="4"/>
  <c r="J601" i="4"/>
  <c r="K601" i="4"/>
  <c r="B602" i="4"/>
  <c r="C602" i="4"/>
  <c r="D602" i="4"/>
  <c r="E602" i="4"/>
  <c r="F602" i="4"/>
  <c r="G602" i="4"/>
  <c r="H602" i="4"/>
  <c r="I602" i="4"/>
  <c r="J602" i="4"/>
  <c r="K602" i="4"/>
  <c r="B603" i="4"/>
  <c r="C603" i="4"/>
  <c r="D603" i="4"/>
  <c r="E603" i="4"/>
  <c r="F603" i="4"/>
  <c r="G603" i="4"/>
  <c r="H603" i="4"/>
  <c r="I603" i="4"/>
  <c r="J603" i="4"/>
  <c r="K603" i="4"/>
  <c r="B604" i="4"/>
  <c r="C604" i="4"/>
  <c r="D604" i="4"/>
  <c r="E604" i="4"/>
  <c r="F604" i="4"/>
  <c r="G604" i="4"/>
  <c r="H604" i="4"/>
  <c r="I604" i="4"/>
  <c r="J604" i="4"/>
  <c r="K604" i="4"/>
  <c r="B605" i="4"/>
  <c r="C605" i="4"/>
  <c r="D605" i="4"/>
  <c r="E605" i="4"/>
  <c r="F605" i="4"/>
  <c r="G605" i="4"/>
  <c r="H605" i="4"/>
  <c r="I605" i="4"/>
  <c r="J605" i="4"/>
  <c r="K605" i="4"/>
  <c r="B606" i="4"/>
  <c r="C606" i="4"/>
  <c r="D606" i="4"/>
  <c r="E606" i="4"/>
  <c r="F606" i="4"/>
  <c r="G606" i="4"/>
  <c r="H606" i="4"/>
  <c r="I606" i="4"/>
  <c r="J606" i="4"/>
  <c r="K606" i="4"/>
  <c r="B607" i="4"/>
  <c r="C607" i="4"/>
  <c r="D607" i="4"/>
  <c r="E607" i="4"/>
  <c r="F607" i="4"/>
  <c r="G607" i="4"/>
  <c r="H607" i="4"/>
  <c r="I607" i="4"/>
  <c r="J607" i="4"/>
  <c r="K607" i="4"/>
  <c r="B608" i="4"/>
  <c r="C608" i="4"/>
  <c r="D608" i="4"/>
  <c r="E608" i="4"/>
  <c r="F608" i="4"/>
  <c r="G608" i="4"/>
  <c r="H608" i="4"/>
  <c r="I608" i="4"/>
  <c r="J608" i="4"/>
  <c r="K608" i="4"/>
  <c r="B609" i="4"/>
  <c r="C609" i="4"/>
  <c r="D609" i="4"/>
  <c r="E609" i="4"/>
  <c r="F609" i="4"/>
  <c r="G609" i="4"/>
  <c r="H609" i="4"/>
  <c r="I609" i="4"/>
  <c r="J609" i="4"/>
  <c r="K609" i="4"/>
  <c r="B610" i="4"/>
  <c r="C610" i="4"/>
  <c r="D610" i="4"/>
  <c r="E610" i="4"/>
  <c r="F610" i="4"/>
  <c r="G610" i="4"/>
  <c r="H610" i="4"/>
  <c r="I610" i="4"/>
  <c r="J610" i="4"/>
  <c r="K610" i="4"/>
  <c r="B611" i="4"/>
  <c r="C611" i="4"/>
  <c r="D611" i="4"/>
  <c r="E611" i="4"/>
  <c r="F611" i="4"/>
  <c r="G611" i="4"/>
  <c r="H611" i="4"/>
  <c r="I611" i="4"/>
  <c r="J611" i="4"/>
  <c r="K611" i="4"/>
  <c r="B612" i="4"/>
  <c r="C612" i="4"/>
  <c r="D612" i="4"/>
  <c r="E612" i="4"/>
  <c r="F612" i="4"/>
  <c r="G612" i="4"/>
  <c r="H612" i="4"/>
  <c r="I612" i="4"/>
  <c r="J612" i="4"/>
  <c r="K612" i="4"/>
  <c r="B613" i="4"/>
  <c r="C613" i="4"/>
  <c r="D613" i="4"/>
  <c r="E613" i="4"/>
  <c r="F613" i="4"/>
  <c r="G613" i="4"/>
  <c r="H613" i="4"/>
  <c r="I613" i="4"/>
  <c r="J613" i="4"/>
  <c r="K613" i="4"/>
  <c r="B614" i="4"/>
  <c r="C614" i="4"/>
  <c r="D614" i="4"/>
  <c r="E614" i="4"/>
  <c r="F614" i="4"/>
  <c r="G614" i="4"/>
  <c r="H614" i="4"/>
  <c r="I614" i="4"/>
  <c r="J614" i="4"/>
  <c r="K614" i="4"/>
  <c r="B615" i="4"/>
  <c r="C615" i="4"/>
  <c r="D615" i="4"/>
  <c r="E615" i="4"/>
  <c r="F615" i="4"/>
  <c r="G615" i="4"/>
  <c r="H615" i="4"/>
  <c r="I615" i="4"/>
  <c r="J615" i="4"/>
  <c r="K615" i="4"/>
  <c r="B616" i="4"/>
  <c r="C616" i="4"/>
  <c r="D616" i="4"/>
  <c r="E616" i="4"/>
  <c r="F616" i="4"/>
  <c r="G616" i="4"/>
  <c r="H616" i="4"/>
  <c r="I616" i="4"/>
  <c r="J616" i="4"/>
  <c r="K616" i="4"/>
  <c r="B617" i="4"/>
  <c r="C617" i="4"/>
  <c r="D617" i="4"/>
  <c r="E617" i="4"/>
  <c r="F617" i="4"/>
  <c r="G617" i="4"/>
  <c r="H617" i="4"/>
  <c r="I617" i="4"/>
  <c r="J617" i="4"/>
  <c r="K617" i="4"/>
  <c r="B618" i="4"/>
  <c r="C618" i="4"/>
  <c r="D618" i="4"/>
  <c r="E618" i="4"/>
  <c r="F618" i="4"/>
  <c r="G618" i="4"/>
  <c r="H618" i="4"/>
  <c r="I618" i="4"/>
  <c r="J618" i="4"/>
  <c r="K618" i="4"/>
  <c r="B619" i="4"/>
  <c r="C619" i="4"/>
  <c r="D619" i="4"/>
  <c r="E619" i="4"/>
  <c r="F619" i="4"/>
  <c r="G619" i="4"/>
  <c r="H619" i="4"/>
  <c r="I619" i="4"/>
  <c r="J619" i="4"/>
  <c r="K619" i="4"/>
  <c r="B620" i="4"/>
  <c r="C620" i="4"/>
  <c r="D620" i="4"/>
  <c r="E620" i="4"/>
  <c r="F620" i="4"/>
  <c r="G620" i="4"/>
  <c r="H620" i="4"/>
  <c r="I620" i="4"/>
  <c r="J620" i="4"/>
  <c r="K620" i="4"/>
  <c r="B621" i="4"/>
  <c r="C621" i="4"/>
  <c r="D621" i="4"/>
  <c r="E621" i="4"/>
  <c r="F621" i="4"/>
  <c r="G621" i="4"/>
  <c r="H621" i="4"/>
  <c r="I621" i="4"/>
  <c r="J621" i="4"/>
  <c r="K621" i="4"/>
  <c r="B622" i="4"/>
  <c r="C622" i="4"/>
  <c r="D622" i="4"/>
  <c r="E622" i="4"/>
  <c r="F622" i="4"/>
  <c r="G622" i="4"/>
  <c r="H622" i="4"/>
  <c r="I622" i="4"/>
  <c r="J622" i="4"/>
  <c r="K622" i="4"/>
  <c r="B623" i="4"/>
  <c r="C623" i="4"/>
  <c r="D623" i="4"/>
  <c r="E623" i="4"/>
  <c r="F623" i="4"/>
  <c r="G623" i="4"/>
  <c r="H623" i="4"/>
  <c r="I623" i="4"/>
  <c r="J623" i="4"/>
  <c r="K623" i="4"/>
  <c r="B624" i="4"/>
  <c r="C624" i="4"/>
  <c r="D624" i="4"/>
  <c r="E624" i="4"/>
  <c r="F624" i="4"/>
  <c r="G624" i="4"/>
  <c r="H624" i="4"/>
  <c r="I624" i="4"/>
  <c r="J624" i="4"/>
  <c r="K624" i="4"/>
  <c r="B625" i="4"/>
  <c r="C625" i="4"/>
  <c r="D625" i="4"/>
  <c r="E625" i="4"/>
  <c r="F625" i="4"/>
  <c r="G625" i="4"/>
  <c r="H625" i="4"/>
  <c r="I625" i="4"/>
  <c r="J625" i="4"/>
  <c r="K625" i="4"/>
  <c r="B626" i="4"/>
  <c r="C626" i="4"/>
  <c r="D626" i="4"/>
  <c r="E626" i="4"/>
  <c r="F626" i="4"/>
  <c r="G626" i="4"/>
  <c r="H626" i="4"/>
  <c r="I626" i="4"/>
  <c r="J626" i="4"/>
  <c r="K626" i="4"/>
  <c r="B627" i="4"/>
  <c r="C627" i="4"/>
  <c r="D627" i="4"/>
  <c r="E627" i="4"/>
  <c r="F627" i="4"/>
  <c r="G627" i="4"/>
  <c r="H627" i="4"/>
  <c r="I627" i="4"/>
  <c r="J627" i="4"/>
  <c r="K627" i="4"/>
  <c r="B628" i="4"/>
  <c r="C628" i="4"/>
  <c r="D628" i="4"/>
  <c r="E628" i="4"/>
  <c r="F628" i="4"/>
  <c r="G628" i="4"/>
  <c r="H628" i="4"/>
  <c r="I628" i="4"/>
  <c r="J628" i="4"/>
  <c r="K628" i="4"/>
  <c r="B629" i="4"/>
  <c r="C629" i="4"/>
  <c r="D629" i="4"/>
  <c r="E629" i="4"/>
  <c r="F629" i="4"/>
  <c r="G629" i="4"/>
  <c r="H629" i="4"/>
  <c r="I629" i="4"/>
  <c r="J629" i="4"/>
  <c r="K629" i="4"/>
  <c r="B630" i="4"/>
  <c r="C630" i="4"/>
  <c r="D630" i="4"/>
  <c r="E630" i="4"/>
  <c r="F630" i="4"/>
  <c r="G630" i="4"/>
  <c r="H630" i="4"/>
  <c r="I630" i="4"/>
  <c r="J630" i="4"/>
  <c r="K630" i="4"/>
  <c r="B631" i="4"/>
  <c r="C631" i="4"/>
  <c r="D631" i="4"/>
  <c r="E631" i="4"/>
  <c r="F631" i="4"/>
  <c r="G631" i="4"/>
  <c r="H631" i="4"/>
  <c r="I631" i="4"/>
  <c r="J631" i="4"/>
  <c r="K631" i="4"/>
  <c r="B632" i="4"/>
  <c r="C632" i="4"/>
  <c r="D632" i="4"/>
  <c r="E632" i="4"/>
  <c r="F632" i="4"/>
  <c r="G632" i="4"/>
  <c r="H632" i="4"/>
  <c r="I632" i="4"/>
  <c r="J632" i="4"/>
  <c r="K632" i="4"/>
  <c r="B633" i="4"/>
  <c r="C633" i="4"/>
  <c r="D633" i="4"/>
  <c r="E633" i="4"/>
  <c r="F633" i="4"/>
  <c r="G633" i="4"/>
  <c r="H633" i="4"/>
  <c r="I633" i="4"/>
  <c r="J633" i="4"/>
  <c r="K633" i="4"/>
  <c r="B634" i="4"/>
  <c r="C634" i="4"/>
  <c r="D634" i="4"/>
  <c r="E634" i="4"/>
  <c r="F634" i="4"/>
  <c r="G634" i="4"/>
  <c r="H634" i="4"/>
  <c r="I634" i="4"/>
  <c r="J634" i="4"/>
  <c r="K634" i="4"/>
  <c r="B635" i="4"/>
  <c r="C635" i="4"/>
  <c r="D635" i="4"/>
  <c r="E635" i="4"/>
  <c r="F635" i="4"/>
  <c r="G635" i="4"/>
  <c r="H635" i="4"/>
  <c r="I635" i="4"/>
  <c r="J635" i="4"/>
  <c r="K635" i="4"/>
  <c r="B636" i="4"/>
  <c r="C636" i="4"/>
  <c r="D636" i="4"/>
  <c r="E636" i="4"/>
  <c r="F636" i="4"/>
  <c r="G636" i="4"/>
  <c r="H636" i="4"/>
  <c r="I636" i="4"/>
  <c r="J636" i="4"/>
  <c r="K636" i="4"/>
  <c r="B637" i="4"/>
  <c r="C637" i="4"/>
  <c r="D637" i="4"/>
  <c r="E637" i="4"/>
  <c r="F637" i="4"/>
  <c r="G637" i="4"/>
  <c r="H637" i="4"/>
  <c r="I637" i="4"/>
  <c r="J637" i="4"/>
  <c r="K637" i="4"/>
  <c r="B638" i="4"/>
  <c r="C638" i="4"/>
  <c r="D638" i="4"/>
  <c r="E638" i="4"/>
  <c r="F638" i="4"/>
  <c r="G638" i="4"/>
  <c r="H638" i="4"/>
  <c r="I638" i="4"/>
  <c r="J638" i="4"/>
  <c r="K638" i="4"/>
  <c r="B639" i="4"/>
  <c r="C639" i="4"/>
  <c r="D639" i="4"/>
  <c r="E639" i="4"/>
  <c r="F639" i="4"/>
  <c r="G639" i="4"/>
  <c r="H639" i="4"/>
  <c r="I639" i="4"/>
  <c r="J639" i="4"/>
  <c r="K639" i="4"/>
  <c r="B640" i="4"/>
  <c r="C640" i="4"/>
  <c r="D640" i="4"/>
  <c r="E640" i="4"/>
  <c r="F640" i="4"/>
  <c r="G640" i="4"/>
  <c r="H640" i="4"/>
  <c r="I640" i="4"/>
  <c r="J640" i="4"/>
  <c r="K640" i="4"/>
  <c r="B641" i="4"/>
  <c r="C641" i="4"/>
  <c r="D641" i="4"/>
  <c r="E641" i="4"/>
  <c r="F641" i="4"/>
  <c r="G641" i="4"/>
  <c r="H641" i="4"/>
  <c r="I641" i="4"/>
  <c r="J641" i="4"/>
  <c r="K641" i="4"/>
  <c r="B642" i="4"/>
  <c r="C642" i="4"/>
  <c r="D642" i="4"/>
  <c r="E642" i="4"/>
  <c r="F642" i="4"/>
  <c r="G642" i="4"/>
  <c r="H642" i="4"/>
  <c r="I642" i="4"/>
  <c r="J642" i="4"/>
  <c r="K642" i="4"/>
  <c r="B643" i="4"/>
  <c r="C643" i="4"/>
  <c r="D643" i="4"/>
  <c r="E643" i="4"/>
  <c r="F643" i="4"/>
  <c r="G643" i="4"/>
  <c r="H643" i="4"/>
  <c r="I643" i="4"/>
  <c r="J643" i="4"/>
  <c r="K643" i="4"/>
  <c r="B644" i="4"/>
  <c r="C644" i="4"/>
  <c r="D644" i="4"/>
  <c r="E644" i="4"/>
  <c r="F644" i="4"/>
  <c r="G644" i="4"/>
  <c r="H644" i="4"/>
  <c r="I644" i="4"/>
  <c r="J644" i="4"/>
  <c r="K644" i="4"/>
  <c r="B645" i="4"/>
  <c r="C645" i="4"/>
  <c r="D645" i="4"/>
  <c r="E645" i="4"/>
  <c r="F645" i="4"/>
  <c r="G645" i="4"/>
  <c r="H645" i="4"/>
  <c r="I645" i="4"/>
  <c r="J645" i="4"/>
  <c r="K645" i="4"/>
  <c r="B646" i="4"/>
  <c r="C646" i="4"/>
  <c r="D646" i="4"/>
  <c r="E646" i="4"/>
  <c r="F646" i="4"/>
  <c r="G646" i="4"/>
  <c r="H646" i="4"/>
  <c r="I646" i="4"/>
  <c r="J646" i="4"/>
  <c r="K646" i="4"/>
  <c r="B647" i="4"/>
  <c r="C647" i="4"/>
  <c r="D647" i="4"/>
  <c r="E647" i="4"/>
  <c r="F647" i="4"/>
  <c r="G647" i="4"/>
  <c r="H647" i="4"/>
  <c r="I647" i="4"/>
  <c r="J647" i="4"/>
  <c r="K647" i="4"/>
  <c r="B648" i="4"/>
  <c r="C648" i="4"/>
  <c r="D648" i="4"/>
  <c r="E648" i="4"/>
  <c r="F648" i="4"/>
  <c r="G648" i="4"/>
  <c r="H648" i="4"/>
  <c r="I648" i="4"/>
  <c r="J648" i="4"/>
  <c r="K648" i="4"/>
  <c r="B649" i="4"/>
  <c r="C649" i="4"/>
  <c r="D649" i="4"/>
  <c r="E649" i="4"/>
  <c r="F649" i="4"/>
  <c r="G649" i="4"/>
  <c r="H649" i="4"/>
  <c r="I649" i="4"/>
  <c r="J649" i="4"/>
  <c r="K649" i="4"/>
  <c r="B650" i="4"/>
  <c r="C650" i="4"/>
  <c r="D650" i="4"/>
  <c r="E650" i="4"/>
  <c r="F650" i="4"/>
  <c r="G650" i="4"/>
  <c r="H650" i="4"/>
  <c r="I650" i="4"/>
  <c r="J650" i="4"/>
  <c r="K650" i="4"/>
  <c r="B651" i="4"/>
  <c r="C651" i="4"/>
  <c r="D651" i="4"/>
  <c r="E651" i="4"/>
  <c r="F651" i="4"/>
  <c r="G651" i="4"/>
  <c r="H651" i="4"/>
  <c r="I651" i="4"/>
  <c r="J651" i="4"/>
  <c r="K651" i="4"/>
  <c r="B652" i="4"/>
  <c r="C652" i="4"/>
  <c r="D652" i="4"/>
  <c r="E652" i="4"/>
  <c r="F652" i="4"/>
  <c r="G652" i="4"/>
  <c r="H652" i="4"/>
  <c r="I652" i="4"/>
  <c r="J652" i="4"/>
  <c r="K652" i="4"/>
  <c r="B653" i="4"/>
  <c r="C653" i="4"/>
  <c r="D653" i="4"/>
  <c r="E653" i="4"/>
  <c r="F653" i="4"/>
  <c r="G653" i="4"/>
  <c r="H653" i="4"/>
  <c r="I653" i="4"/>
  <c r="J653" i="4"/>
  <c r="K653" i="4"/>
  <c r="B654" i="4"/>
  <c r="C654" i="4"/>
  <c r="D654" i="4"/>
  <c r="E654" i="4"/>
  <c r="F654" i="4"/>
  <c r="G654" i="4"/>
  <c r="H654" i="4"/>
  <c r="I654" i="4"/>
  <c r="J654" i="4"/>
  <c r="K654" i="4"/>
  <c r="B655" i="4"/>
  <c r="C655" i="4"/>
  <c r="D655" i="4"/>
  <c r="E655" i="4"/>
  <c r="F655" i="4"/>
  <c r="G655" i="4"/>
  <c r="H655" i="4"/>
  <c r="I655" i="4"/>
  <c r="J655" i="4"/>
  <c r="K655" i="4"/>
  <c r="B656" i="4"/>
  <c r="C656" i="4"/>
  <c r="D656" i="4"/>
  <c r="E656" i="4"/>
  <c r="F656" i="4"/>
  <c r="G656" i="4"/>
  <c r="H656" i="4"/>
  <c r="I656" i="4"/>
  <c r="J656" i="4"/>
  <c r="K656" i="4"/>
  <c r="B657" i="4"/>
  <c r="C657" i="4"/>
  <c r="D657" i="4"/>
  <c r="E657" i="4"/>
  <c r="F657" i="4"/>
  <c r="G657" i="4"/>
  <c r="H657" i="4"/>
  <c r="I657" i="4"/>
  <c r="J657" i="4"/>
  <c r="K657" i="4"/>
  <c r="B658" i="4"/>
  <c r="C658" i="4"/>
  <c r="D658" i="4"/>
  <c r="E658" i="4"/>
  <c r="F658" i="4"/>
  <c r="G658" i="4"/>
  <c r="H658" i="4"/>
  <c r="I658" i="4"/>
  <c r="J658" i="4"/>
  <c r="K658" i="4"/>
  <c r="B659" i="4"/>
  <c r="C659" i="4"/>
  <c r="D659" i="4"/>
  <c r="E659" i="4"/>
  <c r="F659" i="4"/>
  <c r="G659" i="4"/>
  <c r="H659" i="4"/>
  <c r="I659" i="4"/>
  <c r="J659" i="4"/>
  <c r="K659" i="4"/>
  <c r="B660" i="4"/>
  <c r="C660" i="4"/>
  <c r="D660" i="4"/>
  <c r="E660" i="4"/>
  <c r="F660" i="4"/>
  <c r="G660" i="4"/>
  <c r="H660" i="4"/>
  <c r="I660" i="4"/>
  <c r="J660" i="4"/>
  <c r="K660" i="4"/>
  <c r="B661" i="4"/>
  <c r="C661" i="4"/>
  <c r="D661" i="4"/>
  <c r="E661" i="4"/>
  <c r="F661" i="4"/>
  <c r="G661" i="4"/>
  <c r="H661" i="4"/>
  <c r="I661" i="4"/>
  <c r="J661" i="4"/>
  <c r="K661" i="4"/>
  <c r="B662" i="4"/>
  <c r="C662" i="4"/>
  <c r="D662" i="4"/>
  <c r="E662" i="4"/>
  <c r="F662" i="4"/>
  <c r="G662" i="4"/>
  <c r="H662" i="4"/>
  <c r="I662" i="4"/>
  <c r="J662" i="4"/>
  <c r="K662" i="4"/>
  <c r="B663" i="4"/>
  <c r="C663" i="4"/>
  <c r="D663" i="4"/>
  <c r="E663" i="4"/>
  <c r="F663" i="4"/>
  <c r="G663" i="4"/>
  <c r="H663" i="4"/>
  <c r="I663" i="4"/>
  <c r="J663" i="4"/>
  <c r="K663" i="4"/>
  <c r="B664" i="4"/>
  <c r="C664" i="4"/>
  <c r="D664" i="4"/>
  <c r="E664" i="4"/>
  <c r="F664" i="4"/>
  <c r="G664" i="4"/>
  <c r="H664" i="4"/>
  <c r="I664" i="4"/>
  <c r="J664" i="4"/>
  <c r="K664" i="4"/>
  <c r="B665" i="4"/>
  <c r="C665" i="4"/>
  <c r="D665" i="4"/>
  <c r="E665" i="4"/>
  <c r="F665" i="4"/>
  <c r="G665" i="4"/>
  <c r="H665" i="4"/>
  <c r="I665" i="4"/>
  <c r="J665" i="4"/>
  <c r="K665" i="4"/>
  <c r="B666" i="4"/>
  <c r="C666" i="4"/>
  <c r="D666" i="4"/>
  <c r="E666" i="4"/>
  <c r="F666" i="4"/>
  <c r="G666" i="4"/>
  <c r="H666" i="4"/>
  <c r="I666" i="4"/>
  <c r="J666" i="4"/>
  <c r="K666" i="4"/>
  <c r="B667" i="4"/>
  <c r="C667" i="4"/>
  <c r="D667" i="4"/>
  <c r="E667" i="4"/>
  <c r="F667" i="4"/>
  <c r="G667" i="4"/>
  <c r="H667" i="4"/>
  <c r="I667" i="4"/>
  <c r="J667" i="4"/>
  <c r="K667" i="4"/>
  <c r="B668" i="4"/>
  <c r="C668" i="4"/>
  <c r="D668" i="4"/>
  <c r="E668" i="4"/>
  <c r="F668" i="4"/>
  <c r="G668" i="4"/>
  <c r="H668" i="4"/>
  <c r="I668" i="4"/>
  <c r="J668" i="4"/>
  <c r="K668" i="4"/>
  <c r="B669" i="4"/>
  <c r="C669" i="4"/>
  <c r="D669" i="4"/>
  <c r="E669" i="4"/>
  <c r="F669" i="4"/>
  <c r="G669" i="4"/>
  <c r="H669" i="4"/>
  <c r="I669" i="4"/>
  <c r="J669" i="4"/>
  <c r="K669" i="4"/>
  <c r="B670" i="4"/>
  <c r="C670" i="4"/>
  <c r="D670" i="4"/>
  <c r="E670" i="4"/>
  <c r="F670" i="4"/>
  <c r="G670" i="4"/>
  <c r="H670" i="4"/>
  <c r="I670" i="4"/>
  <c r="J670" i="4"/>
  <c r="K670" i="4"/>
  <c r="B671" i="4"/>
  <c r="C671" i="4"/>
  <c r="D671" i="4"/>
  <c r="E671" i="4"/>
  <c r="F671" i="4"/>
  <c r="G671" i="4"/>
  <c r="H671" i="4"/>
  <c r="I671" i="4"/>
  <c r="J671" i="4"/>
  <c r="K671" i="4"/>
  <c r="B672" i="4"/>
  <c r="C672" i="4"/>
  <c r="D672" i="4"/>
  <c r="E672" i="4"/>
  <c r="F672" i="4"/>
  <c r="G672" i="4"/>
  <c r="H672" i="4"/>
  <c r="I672" i="4"/>
  <c r="J672" i="4"/>
  <c r="K672" i="4"/>
  <c r="B673" i="4"/>
  <c r="C673" i="4"/>
  <c r="D673" i="4"/>
  <c r="E673" i="4"/>
  <c r="F673" i="4"/>
  <c r="G673" i="4"/>
  <c r="H673" i="4"/>
  <c r="I673" i="4"/>
  <c r="J673" i="4"/>
  <c r="K673" i="4"/>
  <c r="B674" i="4"/>
  <c r="C674" i="4"/>
  <c r="D674" i="4"/>
  <c r="E674" i="4"/>
  <c r="F674" i="4"/>
  <c r="G674" i="4"/>
  <c r="H674" i="4"/>
  <c r="I674" i="4"/>
  <c r="J674" i="4"/>
  <c r="K674" i="4"/>
  <c r="B675" i="4"/>
  <c r="C675" i="4"/>
  <c r="D675" i="4"/>
  <c r="E675" i="4"/>
  <c r="F675" i="4"/>
  <c r="G675" i="4"/>
  <c r="H675" i="4"/>
  <c r="I675" i="4"/>
  <c r="J675" i="4"/>
  <c r="K675" i="4"/>
  <c r="B676" i="4"/>
  <c r="C676" i="4"/>
  <c r="D676" i="4"/>
  <c r="E676" i="4"/>
  <c r="F676" i="4"/>
  <c r="G676" i="4"/>
  <c r="H676" i="4"/>
  <c r="I676" i="4"/>
  <c r="J676" i="4"/>
  <c r="K676" i="4"/>
  <c r="B677" i="4"/>
  <c r="C677" i="4"/>
  <c r="D677" i="4"/>
  <c r="E677" i="4"/>
  <c r="F677" i="4"/>
  <c r="G677" i="4"/>
  <c r="H677" i="4"/>
  <c r="I677" i="4"/>
  <c r="J677" i="4"/>
  <c r="K677" i="4"/>
  <c r="B678" i="4"/>
  <c r="C678" i="4"/>
  <c r="D678" i="4"/>
  <c r="E678" i="4"/>
  <c r="F678" i="4"/>
  <c r="G678" i="4"/>
  <c r="H678" i="4"/>
  <c r="I678" i="4"/>
  <c r="J678" i="4"/>
  <c r="K678" i="4"/>
  <c r="B679" i="4"/>
  <c r="C679" i="4"/>
  <c r="D679" i="4"/>
  <c r="E679" i="4"/>
  <c r="F679" i="4"/>
  <c r="G679" i="4"/>
  <c r="H679" i="4"/>
  <c r="I679" i="4"/>
  <c r="J679" i="4"/>
  <c r="K679" i="4"/>
  <c r="B680" i="4"/>
  <c r="C680" i="4"/>
  <c r="D680" i="4"/>
  <c r="E680" i="4"/>
  <c r="F680" i="4"/>
  <c r="G680" i="4"/>
  <c r="H680" i="4"/>
  <c r="I680" i="4"/>
  <c r="J680" i="4"/>
  <c r="K680" i="4"/>
  <c r="B681" i="4"/>
  <c r="C681" i="4"/>
  <c r="D681" i="4"/>
  <c r="E681" i="4"/>
  <c r="F681" i="4"/>
  <c r="G681" i="4"/>
  <c r="H681" i="4"/>
  <c r="I681" i="4"/>
  <c r="J681" i="4"/>
  <c r="K681" i="4"/>
  <c r="B682" i="4"/>
  <c r="C682" i="4"/>
  <c r="D682" i="4"/>
  <c r="E682" i="4"/>
  <c r="F682" i="4"/>
  <c r="G682" i="4"/>
  <c r="H682" i="4"/>
  <c r="I682" i="4"/>
  <c r="J682" i="4"/>
  <c r="K682" i="4"/>
  <c r="B683" i="4"/>
  <c r="C683" i="4"/>
  <c r="D683" i="4"/>
  <c r="E683" i="4"/>
  <c r="F683" i="4"/>
  <c r="G683" i="4"/>
  <c r="H683" i="4"/>
  <c r="I683" i="4"/>
  <c r="J683" i="4"/>
  <c r="K683" i="4"/>
  <c r="B684" i="4"/>
  <c r="C684" i="4"/>
  <c r="D684" i="4"/>
  <c r="E684" i="4"/>
  <c r="F684" i="4"/>
  <c r="G684" i="4"/>
  <c r="H684" i="4"/>
  <c r="I684" i="4"/>
  <c r="J684" i="4"/>
  <c r="K684" i="4"/>
  <c r="B685" i="4"/>
  <c r="C685" i="4"/>
  <c r="D685" i="4"/>
  <c r="E685" i="4"/>
  <c r="F685" i="4"/>
  <c r="G685" i="4"/>
  <c r="H685" i="4"/>
  <c r="I685" i="4"/>
  <c r="J685" i="4"/>
  <c r="K685" i="4"/>
  <c r="B686" i="4"/>
  <c r="C686" i="4"/>
  <c r="D686" i="4"/>
  <c r="E686" i="4"/>
  <c r="F686" i="4"/>
  <c r="G686" i="4"/>
  <c r="H686" i="4"/>
  <c r="I686" i="4"/>
  <c r="J686" i="4"/>
  <c r="K686" i="4"/>
  <c r="B687" i="4"/>
  <c r="C687" i="4"/>
  <c r="D687" i="4"/>
  <c r="E687" i="4"/>
  <c r="F687" i="4"/>
  <c r="G687" i="4"/>
  <c r="H687" i="4"/>
  <c r="I687" i="4"/>
  <c r="J687" i="4"/>
  <c r="K687" i="4"/>
  <c r="B688" i="4"/>
  <c r="C688" i="4"/>
  <c r="D688" i="4"/>
  <c r="E688" i="4"/>
  <c r="F688" i="4"/>
  <c r="G688" i="4"/>
  <c r="H688" i="4"/>
  <c r="I688" i="4"/>
  <c r="J688" i="4"/>
  <c r="K688" i="4"/>
  <c r="B689" i="4"/>
  <c r="C689" i="4"/>
  <c r="D689" i="4"/>
  <c r="E689" i="4"/>
  <c r="F689" i="4"/>
  <c r="G689" i="4"/>
  <c r="H689" i="4"/>
  <c r="I689" i="4"/>
  <c r="J689" i="4"/>
  <c r="K689" i="4"/>
  <c r="B690" i="4"/>
  <c r="C690" i="4"/>
  <c r="D690" i="4"/>
  <c r="E690" i="4"/>
  <c r="F690" i="4"/>
  <c r="G690" i="4"/>
  <c r="H690" i="4"/>
  <c r="I690" i="4"/>
  <c r="J690" i="4"/>
  <c r="K690" i="4"/>
  <c r="B691" i="4"/>
  <c r="C691" i="4"/>
  <c r="D691" i="4"/>
  <c r="E691" i="4"/>
  <c r="F691" i="4"/>
  <c r="G691" i="4"/>
  <c r="H691" i="4"/>
  <c r="I691" i="4"/>
  <c r="J691" i="4"/>
  <c r="K691" i="4"/>
  <c r="B692" i="4"/>
  <c r="C692" i="4"/>
  <c r="D692" i="4"/>
  <c r="E692" i="4"/>
  <c r="F692" i="4"/>
  <c r="G692" i="4"/>
  <c r="H692" i="4"/>
  <c r="I692" i="4"/>
  <c r="J692" i="4"/>
  <c r="K692" i="4"/>
  <c r="B693" i="4"/>
  <c r="C693" i="4"/>
  <c r="D693" i="4"/>
  <c r="E693" i="4"/>
  <c r="F693" i="4"/>
  <c r="G693" i="4"/>
  <c r="H693" i="4"/>
  <c r="I693" i="4"/>
  <c r="J693" i="4"/>
  <c r="K693" i="4"/>
  <c r="B694" i="4"/>
  <c r="C694" i="4"/>
  <c r="D694" i="4"/>
  <c r="E694" i="4"/>
  <c r="F694" i="4"/>
  <c r="G694" i="4"/>
  <c r="H694" i="4"/>
  <c r="I694" i="4"/>
  <c r="J694" i="4"/>
  <c r="K694" i="4"/>
  <c r="B695" i="4"/>
  <c r="C695" i="4"/>
  <c r="D695" i="4"/>
  <c r="E695" i="4"/>
  <c r="F695" i="4"/>
  <c r="G695" i="4"/>
  <c r="H695" i="4"/>
  <c r="I695" i="4"/>
  <c r="J695" i="4"/>
  <c r="K695" i="4"/>
  <c r="B696" i="4"/>
  <c r="C696" i="4"/>
  <c r="D696" i="4"/>
  <c r="E696" i="4"/>
  <c r="F696" i="4"/>
  <c r="G696" i="4"/>
  <c r="H696" i="4"/>
  <c r="I696" i="4"/>
  <c r="J696" i="4"/>
  <c r="K696" i="4"/>
  <c r="B697" i="4"/>
  <c r="C697" i="4"/>
  <c r="D697" i="4"/>
  <c r="E697" i="4"/>
  <c r="F697" i="4"/>
  <c r="G697" i="4"/>
  <c r="H697" i="4"/>
  <c r="I697" i="4"/>
  <c r="J697" i="4"/>
  <c r="K697" i="4"/>
  <c r="B698" i="4"/>
  <c r="C698" i="4"/>
  <c r="D698" i="4"/>
  <c r="E698" i="4"/>
  <c r="F698" i="4"/>
  <c r="G698" i="4"/>
  <c r="H698" i="4"/>
  <c r="I698" i="4"/>
  <c r="J698" i="4"/>
  <c r="K698" i="4"/>
  <c r="B699" i="4"/>
  <c r="C699" i="4"/>
  <c r="D699" i="4"/>
  <c r="E699" i="4"/>
  <c r="F699" i="4"/>
  <c r="G699" i="4"/>
  <c r="H699" i="4"/>
  <c r="I699" i="4"/>
  <c r="J699" i="4"/>
  <c r="K699" i="4"/>
  <c r="B700" i="4"/>
  <c r="C700" i="4"/>
  <c r="D700" i="4"/>
  <c r="E700" i="4"/>
  <c r="F700" i="4"/>
  <c r="G700" i="4"/>
  <c r="H700" i="4"/>
  <c r="I700" i="4"/>
  <c r="J700" i="4"/>
  <c r="K700" i="4"/>
  <c r="B701" i="4"/>
  <c r="C701" i="4"/>
  <c r="D701" i="4"/>
  <c r="E701" i="4"/>
  <c r="F701" i="4"/>
  <c r="G701" i="4"/>
  <c r="H701" i="4"/>
  <c r="I701" i="4"/>
  <c r="J701" i="4"/>
  <c r="K701" i="4"/>
  <c r="B702" i="4"/>
  <c r="C702" i="4"/>
  <c r="D702" i="4"/>
  <c r="E702" i="4"/>
  <c r="F702" i="4"/>
  <c r="G702" i="4"/>
  <c r="H702" i="4"/>
  <c r="I702" i="4"/>
  <c r="J702" i="4"/>
  <c r="K702" i="4"/>
  <c r="B703" i="4"/>
  <c r="C703" i="4"/>
  <c r="D703" i="4"/>
  <c r="E703" i="4"/>
  <c r="F703" i="4"/>
  <c r="G703" i="4"/>
  <c r="H703" i="4"/>
  <c r="I703" i="4"/>
  <c r="J703" i="4"/>
  <c r="K703" i="4"/>
  <c r="B704" i="4"/>
  <c r="C704" i="4"/>
  <c r="D704" i="4"/>
  <c r="E704" i="4"/>
  <c r="F704" i="4"/>
  <c r="G704" i="4"/>
  <c r="H704" i="4"/>
  <c r="I704" i="4"/>
  <c r="J704" i="4"/>
  <c r="K704" i="4"/>
  <c r="B705" i="4"/>
  <c r="C705" i="4"/>
  <c r="D705" i="4"/>
  <c r="E705" i="4"/>
  <c r="F705" i="4"/>
  <c r="G705" i="4"/>
  <c r="H705" i="4"/>
  <c r="I705" i="4"/>
  <c r="J705" i="4"/>
  <c r="K705" i="4"/>
  <c r="B706" i="4"/>
  <c r="C706" i="4"/>
  <c r="D706" i="4"/>
  <c r="E706" i="4"/>
  <c r="F706" i="4"/>
  <c r="G706" i="4"/>
  <c r="H706" i="4"/>
  <c r="I706" i="4"/>
  <c r="J706" i="4"/>
  <c r="K706" i="4"/>
  <c r="B707" i="4"/>
  <c r="C707" i="4"/>
  <c r="D707" i="4"/>
  <c r="E707" i="4"/>
  <c r="F707" i="4"/>
  <c r="G707" i="4"/>
  <c r="H707" i="4"/>
  <c r="I707" i="4"/>
  <c r="J707" i="4"/>
  <c r="K707" i="4"/>
  <c r="B708" i="4"/>
  <c r="C708" i="4"/>
  <c r="D708" i="4"/>
  <c r="E708" i="4"/>
  <c r="F708" i="4"/>
  <c r="G708" i="4"/>
  <c r="H708" i="4"/>
  <c r="I708" i="4"/>
  <c r="J708" i="4"/>
  <c r="K708" i="4"/>
  <c r="B709" i="4"/>
  <c r="C709" i="4"/>
  <c r="D709" i="4"/>
  <c r="E709" i="4"/>
  <c r="F709" i="4"/>
  <c r="G709" i="4"/>
  <c r="H709" i="4"/>
  <c r="I709" i="4"/>
  <c r="J709" i="4"/>
  <c r="K709" i="4"/>
  <c r="B710" i="4"/>
  <c r="C710" i="4"/>
  <c r="D710" i="4"/>
  <c r="E710" i="4"/>
  <c r="F710" i="4"/>
  <c r="G710" i="4"/>
  <c r="H710" i="4"/>
  <c r="I710" i="4"/>
  <c r="J710" i="4"/>
  <c r="K710" i="4"/>
  <c r="B711" i="4"/>
  <c r="C711" i="4"/>
  <c r="D711" i="4"/>
  <c r="E711" i="4"/>
  <c r="F711" i="4"/>
  <c r="G711" i="4"/>
  <c r="H711" i="4"/>
  <c r="I711" i="4"/>
  <c r="J711" i="4"/>
  <c r="K711" i="4"/>
  <c r="B712" i="4"/>
  <c r="C712" i="4"/>
  <c r="D712" i="4"/>
  <c r="E712" i="4"/>
  <c r="F712" i="4"/>
  <c r="G712" i="4"/>
  <c r="H712" i="4"/>
  <c r="I712" i="4"/>
  <c r="J712" i="4"/>
  <c r="K712" i="4"/>
  <c r="B713" i="4"/>
  <c r="C713" i="4"/>
  <c r="D713" i="4"/>
  <c r="E713" i="4"/>
  <c r="F713" i="4"/>
  <c r="G713" i="4"/>
  <c r="H713" i="4"/>
  <c r="I713" i="4"/>
  <c r="J713" i="4"/>
  <c r="K713" i="4"/>
  <c r="B714" i="4"/>
  <c r="C714" i="4"/>
  <c r="D714" i="4"/>
  <c r="E714" i="4"/>
  <c r="F714" i="4"/>
  <c r="G714" i="4"/>
  <c r="H714" i="4"/>
  <c r="I714" i="4"/>
  <c r="J714" i="4"/>
  <c r="K714" i="4"/>
  <c r="B715" i="4"/>
  <c r="C715" i="4"/>
  <c r="D715" i="4"/>
  <c r="E715" i="4"/>
  <c r="F715" i="4"/>
  <c r="G715" i="4"/>
  <c r="H715" i="4"/>
  <c r="I715" i="4"/>
  <c r="J715" i="4"/>
  <c r="K715" i="4"/>
  <c r="B716" i="4"/>
  <c r="C716" i="4"/>
  <c r="D716" i="4"/>
  <c r="E716" i="4"/>
  <c r="F716" i="4"/>
  <c r="G716" i="4"/>
  <c r="H716" i="4"/>
  <c r="I716" i="4"/>
  <c r="J716" i="4"/>
  <c r="K716" i="4"/>
  <c r="B717" i="4"/>
  <c r="C717" i="4"/>
  <c r="D717" i="4"/>
  <c r="E717" i="4"/>
  <c r="F717" i="4"/>
  <c r="G717" i="4"/>
  <c r="H717" i="4"/>
  <c r="I717" i="4"/>
  <c r="J717" i="4"/>
  <c r="K717" i="4"/>
  <c r="B718" i="4"/>
  <c r="C718" i="4"/>
  <c r="D718" i="4"/>
  <c r="E718" i="4"/>
  <c r="F718" i="4"/>
  <c r="G718" i="4"/>
  <c r="H718" i="4"/>
  <c r="I718" i="4"/>
  <c r="J718" i="4"/>
  <c r="K718" i="4"/>
  <c r="B719" i="4"/>
  <c r="C719" i="4"/>
  <c r="D719" i="4"/>
  <c r="E719" i="4"/>
  <c r="F719" i="4"/>
  <c r="G719" i="4"/>
  <c r="H719" i="4"/>
  <c r="I719" i="4"/>
  <c r="J719" i="4"/>
  <c r="K719" i="4"/>
  <c r="B720" i="4"/>
  <c r="C720" i="4"/>
  <c r="D720" i="4"/>
  <c r="E720" i="4"/>
  <c r="F720" i="4"/>
  <c r="G720" i="4"/>
  <c r="H720" i="4"/>
  <c r="I720" i="4"/>
  <c r="J720" i="4"/>
  <c r="K720" i="4"/>
  <c r="B721" i="4"/>
  <c r="C721" i="4"/>
  <c r="D721" i="4"/>
  <c r="E721" i="4"/>
  <c r="F721" i="4"/>
  <c r="G721" i="4"/>
  <c r="H721" i="4"/>
  <c r="I721" i="4"/>
  <c r="J721" i="4"/>
  <c r="K721" i="4"/>
  <c r="B722" i="4"/>
  <c r="C722" i="4"/>
  <c r="D722" i="4"/>
  <c r="E722" i="4"/>
  <c r="F722" i="4"/>
  <c r="G722" i="4"/>
  <c r="H722" i="4"/>
  <c r="I722" i="4"/>
  <c r="J722" i="4"/>
  <c r="K722" i="4"/>
  <c r="B723" i="4"/>
  <c r="C723" i="4"/>
  <c r="D723" i="4"/>
  <c r="E723" i="4"/>
  <c r="F723" i="4"/>
  <c r="G723" i="4"/>
  <c r="H723" i="4"/>
  <c r="I723" i="4"/>
  <c r="J723" i="4"/>
  <c r="K723" i="4"/>
  <c r="B724" i="4"/>
  <c r="C724" i="4"/>
  <c r="D724" i="4"/>
  <c r="E724" i="4"/>
  <c r="F724" i="4"/>
  <c r="G724" i="4"/>
  <c r="H724" i="4"/>
  <c r="I724" i="4"/>
  <c r="J724" i="4"/>
  <c r="K724" i="4"/>
  <c r="B725" i="4"/>
  <c r="C725" i="4"/>
  <c r="D725" i="4"/>
  <c r="E725" i="4"/>
  <c r="F725" i="4"/>
  <c r="G725" i="4"/>
  <c r="H725" i="4"/>
  <c r="I725" i="4"/>
  <c r="J725" i="4"/>
  <c r="K725" i="4"/>
  <c r="B726" i="4"/>
  <c r="C726" i="4"/>
  <c r="D726" i="4"/>
  <c r="E726" i="4"/>
  <c r="F726" i="4"/>
  <c r="G726" i="4"/>
  <c r="H726" i="4"/>
  <c r="I726" i="4"/>
  <c r="J726" i="4"/>
  <c r="K726" i="4"/>
  <c r="B727" i="4"/>
  <c r="C727" i="4"/>
  <c r="D727" i="4"/>
  <c r="E727" i="4"/>
  <c r="F727" i="4"/>
  <c r="G727" i="4"/>
  <c r="H727" i="4"/>
  <c r="I727" i="4"/>
  <c r="J727" i="4"/>
  <c r="K727" i="4"/>
  <c r="B728" i="4"/>
  <c r="C728" i="4"/>
  <c r="D728" i="4"/>
  <c r="E728" i="4"/>
  <c r="F728" i="4"/>
  <c r="G728" i="4"/>
  <c r="H728" i="4"/>
  <c r="I728" i="4"/>
  <c r="J728" i="4"/>
  <c r="K728" i="4"/>
  <c r="B729" i="4"/>
  <c r="C729" i="4"/>
  <c r="D729" i="4"/>
  <c r="E729" i="4"/>
  <c r="F729" i="4"/>
  <c r="G729" i="4"/>
  <c r="H729" i="4"/>
  <c r="I729" i="4"/>
  <c r="J729" i="4"/>
  <c r="K729" i="4"/>
  <c r="B730" i="4"/>
  <c r="C730" i="4"/>
  <c r="D730" i="4"/>
  <c r="E730" i="4"/>
  <c r="F730" i="4"/>
  <c r="G730" i="4"/>
  <c r="H730" i="4"/>
  <c r="I730" i="4"/>
  <c r="J730" i="4"/>
  <c r="K730" i="4"/>
  <c r="B731" i="4"/>
  <c r="C731" i="4"/>
  <c r="D731" i="4"/>
  <c r="E731" i="4"/>
  <c r="F731" i="4"/>
  <c r="G731" i="4"/>
  <c r="H731" i="4"/>
  <c r="I731" i="4"/>
  <c r="J731" i="4"/>
  <c r="K731" i="4"/>
  <c r="B732" i="4"/>
  <c r="C732" i="4"/>
  <c r="D732" i="4"/>
  <c r="E732" i="4"/>
  <c r="F732" i="4"/>
  <c r="G732" i="4"/>
  <c r="H732" i="4"/>
  <c r="I732" i="4"/>
  <c r="J732" i="4"/>
  <c r="K732" i="4"/>
  <c r="B733" i="4"/>
  <c r="C733" i="4"/>
  <c r="D733" i="4"/>
  <c r="E733" i="4"/>
  <c r="F733" i="4"/>
  <c r="G733" i="4"/>
  <c r="H733" i="4"/>
  <c r="I733" i="4"/>
  <c r="J733" i="4"/>
  <c r="K733" i="4"/>
  <c r="B734" i="4"/>
  <c r="C734" i="4"/>
  <c r="D734" i="4"/>
  <c r="E734" i="4"/>
  <c r="F734" i="4"/>
  <c r="G734" i="4"/>
  <c r="H734" i="4"/>
  <c r="I734" i="4"/>
  <c r="J734" i="4"/>
  <c r="K734" i="4"/>
  <c r="B735" i="4"/>
  <c r="C735" i="4"/>
  <c r="D735" i="4"/>
  <c r="E735" i="4"/>
  <c r="F735" i="4"/>
  <c r="G735" i="4"/>
  <c r="H735" i="4"/>
  <c r="I735" i="4"/>
  <c r="J735" i="4"/>
  <c r="K735" i="4"/>
  <c r="B736" i="4"/>
  <c r="C736" i="4"/>
  <c r="D736" i="4"/>
  <c r="E736" i="4"/>
  <c r="F736" i="4"/>
  <c r="G736" i="4"/>
  <c r="H736" i="4"/>
  <c r="I736" i="4"/>
  <c r="J736" i="4"/>
  <c r="K736" i="4"/>
  <c r="B737" i="4"/>
  <c r="C737" i="4"/>
  <c r="D737" i="4"/>
  <c r="E737" i="4"/>
  <c r="F737" i="4"/>
  <c r="G737" i="4"/>
  <c r="H737" i="4"/>
  <c r="I737" i="4"/>
  <c r="J737" i="4"/>
  <c r="K737" i="4"/>
  <c r="B738" i="4"/>
  <c r="C738" i="4"/>
  <c r="D738" i="4"/>
  <c r="E738" i="4"/>
  <c r="F738" i="4"/>
  <c r="G738" i="4"/>
  <c r="H738" i="4"/>
  <c r="I738" i="4"/>
  <c r="J738" i="4"/>
  <c r="K738" i="4"/>
  <c r="B739" i="4"/>
  <c r="C739" i="4"/>
  <c r="D739" i="4"/>
  <c r="E739" i="4"/>
  <c r="F739" i="4"/>
  <c r="G739" i="4"/>
  <c r="H739" i="4"/>
  <c r="I739" i="4"/>
  <c r="J739" i="4"/>
  <c r="K739" i="4"/>
  <c r="B740" i="4"/>
  <c r="C740" i="4"/>
  <c r="D740" i="4"/>
  <c r="E740" i="4"/>
  <c r="F740" i="4"/>
  <c r="G740" i="4"/>
  <c r="H740" i="4"/>
  <c r="I740" i="4"/>
  <c r="J740" i="4"/>
  <c r="K740" i="4"/>
  <c r="B741" i="4"/>
  <c r="C741" i="4"/>
  <c r="D741" i="4"/>
  <c r="E741" i="4"/>
  <c r="F741" i="4"/>
  <c r="G741" i="4"/>
  <c r="H741" i="4"/>
  <c r="I741" i="4"/>
  <c r="J741" i="4"/>
  <c r="K741" i="4"/>
  <c r="B742" i="4"/>
  <c r="C742" i="4"/>
  <c r="D742" i="4"/>
  <c r="E742" i="4"/>
  <c r="F742" i="4"/>
  <c r="G742" i="4"/>
  <c r="H742" i="4"/>
  <c r="I742" i="4"/>
  <c r="J742" i="4"/>
  <c r="K742" i="4"/>
  <c r="B743" i="4"/>
  <c r="C743" i="4"/>
  <c r="D743" i="4"/>
  <c r="E743" i="4"/>
  <c r="F743" i="4"/>
  <c r="G743" i="4"/>
  <c r="H743" i="4"/>
  <c r="I743" i="4"/>
  <c r="J743" i="4"/>
  <c r="K743" i="4"/>
  <c r="B744" i="4"/>
  <c r="C744" i="4"/>
  <c r="D744" i="4"/>
  <c r="E744" i="4"/>
  <c r="F744" i="4"/>
  <c r="G744" i="4"/>
  <c r="H744" i="4"/>
  <c r="I744" i="4"/>
  <c r="J744" i="4"/>
  <c r="K744" i="4"/>
  <c r="B745" i="4"/>
  <c r="C745" i="4"/>
  <c r="D745" i="4"/>
  <c r="E745" i="4"/>
  <c r="F745" i="4"/>
  <c r="G745" i="4"/>
  <c r="H745" i="4"/>
  <c r="I745" i="4"/>
  <c r="J745" i="4"/>
  <c r="K745" i="4"/>
  <c r="B746" i="4"/>
  <c r="C746" i="4"/>
  <c r="D746" i="4"/>
  <c r="E746" i="4"/>
  <c r="F746" i="4"/>
  <c r="G746" i="4"/>
  <c r="H746" i="4"/>
  <c r="I746" i="4"/>
  <c r="J746" i="4"/>
  <c r="K746" i="4"/>
  <c r="B747" i="4"/>
  <c r="C747" i="4"/>
  <c r="D747" i="4"/>
  <c r="E747" i="4"/>
  <c r="F747" i="4"/>
  <c r="G747" i="4"/>
  <c r="H747" i="4"/>
  <c r="I747" i="4"/>
  <c r="J747" i="4"/>
  <c r="K747" i="4"/>
  <c r="B748" i="4"/>
  <c r="C748" i="4"/>
  <c r="D748" i="4"/>
  <c r="E748" i="4"/>
  <c r="F748" i="4"/>
  <c r="G748" i="4"/>
  <c r="H748" i="4"/>
  <c r="I748" i="4"/>
  <c r="J748" i="4"/>
  <c r="K748" i="4"/>
  <c r="B749" i="4"/>
  <c r="C749" i="4"/>
  <c r="D749" i="4"/>
  <c r="E749" i="4"/>
  <c r="F749" i="4"/>
  <c r="G749" i="4"/>
  <c r="H749" i="4"/>
  <c r="I749" i="4"/>
  <c r="J749" i="4"/>
  <c r="K749" i="4"/>
  <c r="B750" i="4"/>
  <c r="C750" i="4"/>
  <c r="D750" i="4"/>
  <c r="E750" i="4"/>
  <c r="F750" i="4"/>
  <c r="G750" i="4"/>
  <c r="H750" i="4"/>
  <c r="I750" i="4"/>
  <c r="J750" i="4"/>
  <c r="K750" i="4"/>
  <c r="B751" i="4"/>
  <c r="C751" i="4"/>
  <c r="D751" i="4"/>
  <c r="E751" i="4"/>
  <c r="F751" i="4"/>
  <c r="G751" i="4"/>
  <c r="H751" i="4"/>
  <c r="I751" i="4"/>
  <c r="J751" i="4"/>
  <c r="K751" i="4"/>
  <c r="B752" i="4"/>
  <c r="C752" i="4"/>
  <c r="D752" i="4"/>
  <c r="E752" i="4"/>
  <c r="F752" i="4"/>
  <c r="G752" i="4"/>
  <c r="H752" i="4"/>
  <c r="I752" i="4"/>
  <c r="J752" i="4"/>
  <c r="K752" i="4"/>
  <c r="B753" i="4"/>
  <c r="C753" i="4"/>
  <c r="D753" i="4"/>
  <c r="E753" i="4"/>
  <c r="F753" i="4"/>
  <c r="G753" i="4"/>
  <c r="H753" i="4"/>
  <c r="I753" i="4"/>
  <c r="J753" i="4"/>
  <c r="K753" i="4"/>
  <c r="B754" i="4"/>
  <c r="C754" i="4"/>
  <c r="D754" i="4"/>
  <c r="E754" i="4"/>
  <c r="F754" i="4"/>
  <c r="G754" i="4"/>
  <c r="H754" i="4"/>
  <c r="I754" i="4"/>
  <c r="J754" i="4"/>
  <c r="K754" i="4"/>
  <c r="B755" i="4"/>
  <c r="C755" i="4"/>
  <c r="D755" i="4"/>
  <c r="E755" i="4"/>
  <c r="F755" i="4"/>
  <c r="G755" i="4"/>
  <c r="H755" i="4"/>
  <c r="I755" i="4"/>
  <c r="J755" i="4"/>
  <c r="K755" i="4"/>
  <c r="B756" i="4"/>
  <c r="C756" i="4"/>
  <c r="D756" i="4"/>
  <c r="E756" i="4"/>
  <c r="F756" i="4"/>
  <c r="G756" i="4"/>
  <c r="H756" i="4"/>
  <c r="I756" i="4"/>
  <c r="J756" i="4"/>
  <c r="K756" i="4"/>
  <c r="B757" i="4"/>
  <c r="C757" i="4"/>
  <c r="D757" i="4"/>
  <c r="E757" i="4"/>
  <c r="F757" i="4"/>
  <c r="G757" i="4"/>
  <c r="H757" i="4"/>
  <c r="I757" i="4"/>
  <c r="J757" i="4"/>
  <c r="K757" i="4"/>
  <c r="B758" i="4"/>
  <c r="C758" i="4"/>
  <c r="D758" i="4"/>
  <c r="E758" i="4"/>
  <c r="F758" i="4"/>
  <c r="G758" i="4"/>
  <c r="H758" i="4"/>
  <c r="I758" i="4"/>
  <c r="J758" i="4"/>
  <c r="K758" i="4"/>
  <c r="B759" i="4"/>
  <c r="C759" i="4"/>
  <c r="D759" i="4"/>
  <c r="E759" i="4"/>
  <c r="F759" i="4"/>
  <c r="G759" i="4"/>
  <c r="H759" i="4"/>
  <c r="I759" i="4"/>
  <c r="J759" i="4"/>
  <c r="K759" i="4"/>
  <c r="B760" i="4"/>
  <c r="C760" i="4"/>
  <c r="D760" i="4"/>
  <c r="E760" i="4"/>
  <c r="F760" i="4"/>
  <c r="G760" i="4"/>
  <c r="H760" i="4"/>
  <c r="I760" i="4"/>
  <c r="J760" i="4"/>
  <c r="K760" i="4"/>
  <c r="B761" i="4"/>
  <c r="C761" i="4"/>
  <c r="D761" i="4"/>
  <c r="E761" i="4"/>
  <c r="F761" i="4"/>
  <c r="G761" i="4"/>
  <c r="H761" i="4"/>
  <c r="I761" i="4"/>
  <c r="J761" i="4"/>
  <c r="K761" i="4"/>
  <c r="B762" i="4"/>
  <c r="C762" i="4"/>
  <c r="D762" i="4"/>
  <c r="E762" i="4"/>
  <c r="F762" i="4"/>
  <c r="G762" i="4"/>
  <c r="H762" i="4"/>
  <c r="I762" i="4"/>
  <c r="J762" i="4"/>
  <c r="K762" i="4"/>
  <c r="B763" i="4"/>
  <c r="C763" i="4"/>
  <c r="D763" i="4"/>
  <c r="E763" i="4"/>
  <c r="F763" i="4"/>
  <c r="G763" i="4"/>
  <c r="H763" i="4"/>
  <c r="I763" i="4"/>
  <c r="J763" i="4"/>
  <c r="K763" i="4"/>
  <c r="B764" i="4"/>
  <c r="C764" i="4"/>
  <c r="D764" i="4"/>
  <c r="E764" i="4"/>
  <c r="F764" i="4"/>
  <c r="G764" i="4"/>
  <c r="H764" i="4"/>
  <c r="I764" i="4"/>
  <c r="J764" i="4"/>
  <c r="K764" i="4"/>
  <c r="B765" i="4"/>
  <c r="C765" i="4"/>
  <c r="D765" i="4"/>
  <c r="E765" i="4"/>
  <c r="F765" i="4"/>
  <c r="G765" i="4"/>
  <c r="H765" i="4"/>
  <c r="I765" i="4"/>
  <c r="J765" i="4"/>
  <c r="K765" i="4"/>
  <c r="B766" i="4"/>
  <c r="C766" i="4"/>
  <c r="D766" i="4"/>
  <c r="E766" i="4"/>
  <c r="F766" i="4"/>
  <c r="G766" i="4"/>
  <c r="H766" i="4"/>
  <c r="I766" i="4"/>
  <c r="J766" i="4"/>
  <c r="K766" i="4"/>
  <c r="B767" i="4"/>
  <c r="C767" i="4"/>
  <c r="D767" i="4"/>
  <c r="E767" i="4"/>
  <c r="F767" i="4"/>
  <c r="G767" i="4"/>
  <c r="H767" i="4"/>
  <c r="I767" i="4"/>
  <c r="J767" i="4"/>
  <c r="K767" i="4"/>
  <c r="B768" i="4"/>
  <c r="C768" i="4"/>
  <c r="D768" i="4"/>
  <c r="E768" i="4"/>
  <c r="F768" i="4"/>
  <c r="G768" i="4"/>
  <c r="H768" i="4"/>
  <c r="I768" i="4"/>
  <c r="J768" i="4"/>
  <c r="K768" i="4"/>
  <c r="B769" i="4"/>
  <c r="C769" i="4"/>
  <c r="D769" i="4"/>
  <c r="E769" i="4"/>
  <c r="F769" i="4"/>
  <c r="G769" i="4"/>
  <c r="H769" i="4"/>
  <c r="I769" i="4"/>
  <c r="J769" i="4"/>
  <c r="K769" i="4"/>
  <c r="B770" i="4"/>
  <c r="C770" i="4"/>
  <c r="D770" i="4"/>
  <c r="E770" i="4"/>
  <c r="F770" i="4"/>
  <c r="G770" i="4"/>
  <c r="H770" i="4"/>
  <c r="I770" i="4"/>
  <c r="J770" i="4"/>
  <c r="K770" i="4"/>
  <c r="B771" i="4"/>
  <c r="C771" i="4"/>
  <c r="D771" i="4"/>
  <c r="E771" i="4"/>
  <c r="F771" i="4"/>
  <c r="G771" i="4"/>
  <c r="H771" i="4"/>
  <c r="I771" i="4"/>
  <c r="J771" i="4"/>
  <c r="K771" i="4"/>
  <c r="B772" i="4"/>
  <c r="C772" i="4"/>
  <c r="D772" i="4"/>
  <c r="E772" i="4"/>
  <c r="F772" i="4"/>
  <c r="G772" i="4"/>
  <c r="H772" i="4"/>
  <c r="I772" i="4"/>
  <c r="J772" i="4"/>
  <c r="K772" i="4"/>
  <c r="B773" i="4"/>
  <c r="C773" i="4"/>
  <c r="D773" i="4"/>
  <c r="E773" i="4"/>
  <c r="F773" i="4"/>
  <c r="G773" i="4"/>
  <c r="H773" i="4"/>
  <c r="I773" i="4"/>
  <c r="J773" i="4"/>
  <c r="K773" i="4"/>
  <c r="B774" i="4"/>
  <c r="C774" i="4"/>
  <c r="D774" i="4"/>
  <c r="E774" i="4"/>
  <c r="F774" i="4"/>
  <c r="G774" i="4"/>
  <c r="H774" i="4"/>
  <c r="I774" i="4"/>
  <c r="J774" i="4"/>
  <c r="K774" i="4"/>
  <c r="B775" i="4"/>
  <c r="C775" i="4"/>
  <c r="D775" i="4"/>
  <c r="E775" i="4"/>
  <c r="F775" i="4"/>
  <c r="G775" i="4"/>
  <c r="H775" i="4"/>
  <c r="I775" i="4"/>
  <c r="J775" i="4"/>
  <c r="K775" i="4"/>
  <c r="B776" i="4"/>
  <c r="C776" i="4"/>
  <c r="D776" i="4"/>
  <c r="E776" i="4"/>
  <c r="F776" i="4"/>
  <c r="G776" i="4"/>
  <c r="H776" i="4"/>
  <c r="I776" i="4"/>
  <c r="J776" i="4"/>
  <c r="K776" i="4"/>
  <c r="B777" i="4"/>
  <c r="C777" i="4"/>
  <c r="D777" i="4"/>
  <c r="E777" i="4"/>
  <c r="F777" i="4"/>
  <c r="G777" i="4"/>
  <c r="H777" i="4"/>
  <c r="I777" i="4"/>
  <c r="J777" i="4"/>
  <c r="K777" i="4"/>
  <c r="B778" i="4"/>
  <c r="C778" i="4"/>
  <c r="D778" i="4"/>
  <c r="E778" i="4"/>
  <c r="F778" i="4"/>
  <c r="G778" i="4"/>
  <c r="H778" i="4"/>
  <c r="I778" i="4"/>
  <c r="J778" i="4"/>
  <c r="K778" i="4"/>
  <c r="B779" i="4"/>
  <c r="C779" i="4"/>
  <c r="D779" i="4"/>
  <c r="E779" i="4"/>
  <c r="F779" i="4"/>
  <c r="G779" i="4"/>
  <c r="H779" i="4"/>
  <c r="I779" i="4"/>
  <c r="J779" i="4"/>
  <c r="K779" i="4"/>
  <c r="B780" i="4"/>
  <c r="C780" i="4"/>
  <c r="D780" i="4"/>
  <c r="E780" i="4"/>
  <c r="F780" i="4"/>
  <c r="G780" i="4"/>
  <c r="H780" i="4"/>
  <c r="I780" i="4"/>
  <c r="J780" i="4"/>
  <c r="K780" i="4"/>
  <c r="B781" i="4"/>
  <c r="C781" i="4"/>
  <c r="D781" i="4"/>
  <c r="E781" i="4"/>
  <c r="F781" i="4"/>
  <c r="G781" i="4"/>
  <c r="H781" i="4"/>
  <c r="I781" i="4"/>
  <c r="J781" i="4"/>
  <c r="K781" i="4"/>
  <c r="B782" i="4"/>
  <c r="C782" i="4"/>
  <c r="D782" i="4"/>
  <c r="E782" i="4"/>
  <c r="F782" i="4"/>
  <c r="G782" i="4"/>
  <c r="H782" i="4"/>
  <c r="I782" i="4"/>
  <c r="J782" i="4"/>
  <c r="K782" i="4"/>
  <c r="B783" i="4"/>
  <c r="C783" i="4"/>
  <c r="D783" i="4"/>
  <c r="E783" i="4"/>
  <c r="F783" i="4"/>
  <c r="G783" i="4"/>
  <c r="H783" i="4"/>
  <c r="I783" i="4"/>
  <c r="J783" i="4"/>
  <c r="K783" i="4"/>
  <c r="B784" i="4"/>
  <c r="C784" i="4"/>
  <c r="D784" i="4"/>
  <c r="E784" i="4"/>
  <c r="F784" i="4"/>
  <c r="G784" i="4"/>
  <c r="H784" i="4"/>
  <c r="I784" i="4"/>
  <c r="J784" i="4"/>
  <c r="K784" i="4"/>
  <c r="B785" i="4"/>
  <c r="C785" i="4"/>
  <c r="D785" i="4"/>
  <c r="E785" i="4"/>
  <c r="F785" i="4"/>
  <c r="G785" i="4"/>
  <c r="H785" i="4"/>
  <c r="I785" i="4"/>
  <c r="J785" i="4"/>
  <c r="K785" i="4"/>
  <c r="B786" i="4"/>
  <c r="C786" i="4"/>
  <c r="D786" i="4"/>
  <c r="E786" i="4"/>
  <c r="F786" i="4"/>
  <c r="G786" i="4"/>
  <c r="H786" i="4"/>
  <c r="I786" i="4"/>
  <c r="J786" i="4"/>
  <c r="K786" i="4"/>
  <c r="B787" i="4"/>
  <c r="C787" i="4"/>
  <c r="D787" i="4"/>
  <c r="E787" i="4"/>
  <c r="F787" i="4"/>
  <c r="G787" i="4"/>
  <c r="H787" i="4"/>
  <c r="I787" i="4"/>
  <c r="J787" i="4"/>
  <c r="K787" i="4"/>
  <c r="B788" i="4"/>
  <c r="C788" i="4"/>
  <c r="D788" i="4"/>
  <c r="E788" i="4"/>
  <c r="F788" i="4"/>
  <c r="G788" i="4"/>
  <c r="H788" i="4"/>
  <c r="I788" i="4"/>
  <c r="J788" i="4"/>
  <c r="K788" i="4"/>
  <c r="B789" i="4"/>
  <c r="C789" i="4"/>
  <c r="D789" i="4"/>
  <c r="E789" i="4"/>
  <c r="F789" i="4"/>
  <c r="G789" i="4"/>
  <c r="H789" i="4"/>
  <c r="I789" i="4"/>
  <c r="J789" i="4"/>
  <c r="K789" i="4"/>
  <c r="B790" i="4"/>
  <c r="C790" i="4"/>
  <c r="D790" i="4"/>
  <c r="E790" i="4"/>
  <c r="F790" i="4"/>
  <c r="G790" i="4"/>
  <c r="H790" i="4"/>
  <c r="I790" i="4"/>
  <c r="J790" i="4"/>
  <c r="K790" i="4"/>
  <c r="B791" i="4"/>
  <c r="C791" i="4"/>
  <c r="D791" i="4"/>
  <c r="E791" i="4"/>
  <c r="F791" i="4"/>
  <c r="G791" i="4"/>
  <c r="H791" i="4"/>
  <c r="I791" i="4"/>
  <c r="J791" i="4"/>
  <c r="K791" i="4"/>
  <c r="B792" i="4"/>
  <c r="C792" i="4"/>
  <c r="D792" i="4"/>
  <c r="E792" i="4"/>
  <c r="F792" i="4"/>
  <c r="G792" i="4"/>
  <c r="H792" i="4"/>
  <c r="I792" i="4"/>
  <c r="J792" i="4"/>
  <c r="K792" i="4"/>
  <c r="B793" i="4"/>
  <c r="C793" i="4"/>
  <c r="D793" i="4"/>
  <c r="E793" i="4"/>
  <c r="F793" i="4"/>
  <c r="G793" i="4"/>
  <c r="H793" i="4"/>
  <c r="I793" i="4"/>
  <c r="J793" i="4"/>
  <c r="K793" i="4"/>
  <c r="B794" i="4"/>
  <c r="C794" i="4"/>
  <c r="D794" i="4"/>
  <c r="E794" i="4"/>
  <c r="F794" i="4"/>
  <c r="G794" i="4"/>
  <c r="H794" i="4"/>
  <c r="I794" i="4"/>
  <c r="J794" i="4"/>
  <c r="K794" i="4"/>
  <c r="B795" i="4"/>
  <c r="C795" i="4"/>
  <c r="D795" i="4"/>
  <c r="E795" i="4"/>
  <c r="F795" i="4"/>
  <c r="G795" i="4"/>
  <c r="H795" i="4"/>
  <c r="I795" i="4"/>
  <c r="J795" i="4"/>
  <c r="K795" i="4"/>
  <c r="B796" i="4"/>
  <c r="C796" i="4"/>
  <c r="D796" i="4"/>
  <c r="E796" i="4"/>
  <c r="F796" i="4"/>
  <c r="G796" i="4"/>
  <c r="H796" i="4"/>
  <c r="I796" i="4"/>
  <c r="J796" i="4"/>
  <c r="K796" i="4"/>
  <c r="B797" i="4"/>
  <c r="C797" i="4"/>
  <c r="D797" i="4"/>
  <c r="E797" i="4"/>
  <c r="F797" i="4"/>
  <c r="G797" i="4"/>
  <c r="H797" i="4"/>
  <c r="I797" i="4"/>
  <c r="J797" i="4"/>
  <c r="K797" i="4"/>
  <c r="B798" i="4"/>
  <c r="C798" i="4"/>
  <c r="D798" i="4"/>
  <c r="E798" i="4"/>
  <c r="F798" i="4"/>
  <c r="G798" i="4"/>
  <c r="H798" i="4"/>
  <c r="I798" i="4"/>
  <c r="J798" i="4"/>
  <c r="K798" i="4"/>
  <c r="B799" i="4"/>
  <c r="C799" i="4"/>
  <c r="D799" i="4"/>
  <c r="E799" i="4"/>
  <c r="F799" i="4"/>
  <c r="G799" i="4"/>
  <c r="H799" i="4"/>
  <c r="I799" i="4"/>
  <c r="J799" i="4"/>
  <c r="K799" i="4"/>
  <c r="B800" i="4"/>
  <c r="C800" i="4"/>
  <c r="D800" i="4"/>
  <c r="E800" i="4"/>
  <c r="F800" i="4"/>
  <c r="G800" i="4"/>
  <c r="H800" i="4"/>
  <c r="I800" i="4"/>
  <c r="J800" i="4"/>
  <c r="K800" i="4"/>
  <c r="B801" i="4"/>
  <c r="C801" i="4"/>
  <c r="D801" i="4"/>
  <c r="E801" i="4"/>
  <c r="F801" i="4"/>
  <c r="G801" i="4"/>
  <c r="H801" i="4"/>
  <c r="I801" i="4"/>
  <c r="J801" i="4"/>
  <c r="K801" i="4"/>
  <c r="B802" i="4"/>
  <c r="C802" i="4"/>
  <c r="D802" i="4"/>
  <c r="E802" i="4"/>
  <c r="F802" i="4"/>
  <c r="G802" i="4"/>
  <c r="H802" i="4"/>
  <c r="I802" i="4"/>
  <c r="J802" i="4"/>
  <c r="K802" i="4"/>
  <c r="B803" i="4"/>
  <c r="C803" i="4"/>
  <c r="D803" i="4"/>
  <c r="E803" i="4"/>
  <c r="F803" i="4"/>
  <c r="G803" i="4"/>
  <c r="H803" i="4"/>
  <c r="I803" i="4"/>
  <c r="J803" i="4"/>
  <c r="K803" i="4"/>
  <c r="B804" i="4"/>
  <c r="C804" i="4"/>
  <c r="D804" i="4"/>
  <c r="E804" i="4"/>
  <c r="F804" i="4"/>
  <c r="G804" i="4"/>
  <c r="H804" i="4"/>
  <c r="I804" i="4"/>
  <c r="J804" i="4"/>
  <c r="K804" i="4"/>
  <c r="B805" i="4"/>
  <c r="C805" i="4"/>
  <c r="D805" i="4"/>
  <c r="E805" i="4"/>
  <c r="F805" i="4"/>
  <c r="G805" i="4"/>
  <c r="H805" i="4"/>
  <c r="I805" i="4"/>
  <c r="J805" i="4"/>
  <c r="K805" i="4"/>
  <c r="B806" i="4"/>
  <c r="C806" i="4"/>
  <c r="D806" i="4"/>
  <c r="E806" i="4"/>
  <c r="F806" i="4"/>
  <c r="G806" i="4"/>
  <c r="H806" i="4"/>
  <c r="I806" i="4"/>
  <c r="J806" i="4"/>
  <c r="K806" i="4"/>
  <c r="B807" i="4"/>
  <c r="C807" i="4"/>
  <c r="D807" i="4"/>
  <c r="E807" i="4"/>
  <c r="F807" i="4"/>
  <c r="G807" i="4"/>
  <c r="H807" i="4"/>
  <c r="I807" i="4"/>
  <c r="J807" i="4"/>
  <c r="K807" i="4"/>
  <c r="B808" i="4"/>
  <c r="C808" i="4"/>
  <c r="D808" i="4"/>
  <c r="E808" i="4"/>
  <c r="F808" i="4"/>
  <c r="G808" i="4"/>
  <c r="H808" i="4"/>
  <c r="I808" i="4"/>
  <c r="J808" i="4"/>
  <c r="K808" i="4"/>
  <c r="B809" i="4"/>
  <c r="C809" i="4"/>
  <c r="D809" i="4"/>
  <c r="E809" i="4"/>
  <c r="F809" i="4"/>
  <c r="G809" i="4"/>
  <c r="H809" i="4"/>
  <c r="I809" i="4"/>
  <c r="J809" i="4"/>
  <c r="K809" i="4"/>
  <c r="B810" i="4"/>
  <c r="C810" i="4"/>
  <c r="D810" i="4"/>
  <c r="E810" i="4"/>
  <c r="F810" i="4"/>
  <c r="G810" i="4"/>
  <c r="H810" i="4"/>
  <c r="I810" i="4"/>
  <c r="J810" i="4"/>
  <c r="K810" i="4"/>
  <c r="B811" i="4"/>
  <c r="C811" i="4"/>
  <c r="D811" i="4"/>
  <c r="E811" i="4"/>
  <c r="F811" i="4"/>
  <c r="G811" i="4"/>
  <c r="H811" i="4"/>
  <c r="I811" i="4"/>
  <c r="J811" i="4"/>
  <c r="K811" i="4"/>
  <c r="B812" i="4"/>
  <c r="C812" i="4"/>
  <c r="D812" i="4"/>
  <c r="E812" i="4"/>
  <c r="F812" i="4"/>
  <c r="G812" i="4"/>
  <c r="H812" i="4"/>
  <c r="I812" i="4"/>
  <c r="J812" i="4"/>
  <c r="K812" i="4"/>
  <c r="B813" i="4"/>
  <c r="C813" i="4"/>
  <c r="D813" i="4"/>
  <c r="E813" i="4"/>
  <c r="F813" i="4"/>
  <c r="G813" i="4"/>
  <c r="H813" i="4"/>
  <c r="I813" i="4"/>
  <c r="J813" i="4"/>
  <c r="K813" i="4"/>
  <c r="B814" i="4"/>
  <c r="C814" i="4"/>
  <c r="D814" i="4"/>
  <c r="E814" i="4"/>
  <c r="F814" i="4"/>
  <c r="G814" i="4"/>
  <c r="H814" i="4"/>
  <c r="I814" i="4"/>
  <c r="J814" i="4"/>
  <c r="K814" i="4"/>
  <c r="B815" i="4"/>
  <c r="C815" i="4"/>
  <c r="D815" i="4"/>
  <c r="E815" i="4"/>
  <c r="F815" i="4"/>
  <c r="G815" i="4"/>
  <c r="H815" i="4"/>
  <c r="I815" i="4"/>
  <c r="J815" i="4"/>
  <c r="K815" i="4"/>
  <c r="B816" i="4"/>
  <c r="C816" i="4"/>
  <c r="D816" i="4"/>
  <c r="E816" i="4"/>
  <c r="F816" i="4"/>
  <c r="G816" i="4"/>
  <c r="H816" i="4"/>
  <c r="I816" i="4"/>
  <c r="J816" i="4"/>
  <c r="K816" i="4"/>
  <c r="B817" i="4"/>
  <c r="C817" i="4"/>
  <c r="D817" i="4"/>
  <c r="E817" i="4"/>
  <c r="F817" i="4"/>
  <c r="G817" i="4"/>
  <c r="H817" i="4"/>
  <c r="I817" i="4"/>
  <c r="J817" i="4"/>
  <c r="K817" i="4"/>
  <c r="B818" i="4"/>
  <c r="C818" i="4"/>
  <c r="D818" i="4"/>
  <c r="E818" i="4"/>
  <c r="F818" i="4"/>
  <c r="G818" i="4"/>
  <c r="H818" i="4"/>
  <c r="I818" i="4"/>
  <c r="J818" i="4"/>
  <c r="K818" i="4"/>
  <c r="B819" i="4"/>
  <c r="C819" i="4"/>
  <c r="D819" i="4"/>
  <c r="E819" i="4"/>
  <c r="F819" i="4"/>
  <c r="G819" i="4"/>
  <c r="H819" i="4"/>
  <c r="I819" i="4"/>
  <c r="J819" i="4"/>
  <c r="K819" i="4"/>
  <c r="B820" i="4"/>
  <c r="C820" i="4"/>
  <c r="D820" i="4"/>
  <c r="E820" i="4"/>
  <c r="F820" i="4"/>
  <c r="G820" i="4"/>
  <c r="H820" i="4"/>
  <c r="I820" i="4"/>
  <c r="J820" i="4"/>
  <c r="K820" i="4"/>
  <c r="B821" i="4"/>
  <c r="C821" i="4"/>
  <c r="D821" i="4"/>
  <c r="E821" i="4"/>
  <c r="F821" i="4"/>
  <c r="G821" i="4"/>
  <c r="H821" i="4"/>
  <c r="I821" i="4"/>
  <c r="J821" i="4"/>
  <c r="K821" i="4"/>
  <c r="B822" i="4"/>
  <c r="C822" i="4"/>
  <c r="D822" i="4"/>
  <c r="E822" i="4"/>
  <c r="F822" i="4"/>
  <c r="G822" i="4"/>
  <c r="H822" i="4"/>
  <c r="I822" i="4"/>
  <c r="J822" i="4"/>
  <c r="K822" i="4"/>
  <c r="B823" i="4"/>
  <c r="C823" i="4"/>
  <c r="D823" i="4"/>
  <c r="E823" i="4"/>
  <c r="F823" i="4"/>
  <c r="G823" i="4"/>
  <c r="H823" i="4"/>
  <c r="I823" i="4"/>
  <c r="J823" i="4"/>
  <c r="K823" i="4"/>
  <c r="B824" i="4"/>
  <c r="C824" i="4"/>
  <c r="D824" i="4"/>
  <c r="E824" i="4"/>
  <c r="F824" i="4"/>
  <c r="G824" i="4"/>
  <c r="H824" i="4"/>
  <c r="I824" i="4"/>
  <c r="J824" i="4"/>
  <c r="K824" i="4"/>
  <c r="B825" i="4"/>
  <c r="C825" i="4"/>
  <c r="D825" i="4"/>
  <c r="E825" i="4"/>
  <c r="F825" i="4"/>
  <c r="G825" i="4"/>
  <c r="H825" i="4"/>
  <c r="I825" i="4"/>
  <c r="J825" i="4"/>
  <c r="K825" i="4"/>
  <c r="B826" i="4"/>
  <c r="C826" i="4"/>
  <c r="D826" i="4"/>
  <c r="E826" i="4"/>
  <c r="F826" i="4"/>
  <c r="G826" i="4"/>
  <c r="H826" i="4"/>
  <c r="I826" i="4"/>
  <c r="J826" i="4"/>
  <c r="K826" i="4"/>
  <c r="B827" i="4"/>
  <c r="C827" i="4"/>
  <c r="D827" i="4"/>
  <c r="E827" i="4"/>
  <c r="F827" i="4"/>
  <c r="G827" i="4"/>
  <c r="H827" i="4"/>
  <c r="I827" i="4"/>
  <c r="J827" i="4"/>
  <c r="K827" i="4"/>
  <c r="B828" i="4"/>
  <c r="C828" i="4"/>
  <c r="D828" i="4"/>
  <c r="E828" i="4"/>
  <c r="F828" i="4"/>
  <c r="G828" i="4"/>
  <c r="H828" i="4"/>
  <c r="I828" i="4"/>
  <c r="J828" i="4"/>
  <c r="K828" i="4"/>
  <c r="B829" i="4"/>
  <c r="C829" i="4"/>
  <c r="D829" i="4"/>
  <c r="E829" i="4"/>
  <c r="F829" i="4"/>
  <c r="G829" i="4"/>
  <c r="H829" i="4"/>
  <c r="I829" i="4"/>
  <c r="J829" i="4"/>
  <c r="K829" i="4"/>
  <c r="B830" i="4"/>
  <c r="C830" i="4"/>
  <c r="D830" i="4"/>
  <c r="E830" i="4"/>
  <c r="F830" i="4"/>
  <c r="G830" i="4"/>
  <c r="H830" i="4"/>
  <c r="I830" i="4"/>
  <c r="J830" i="4"/>
  <c r="K830" i="4"/>
  <c r="B831" i="4"/>
  <c r="C831" i="4"/>
  <c r="D831" i="4"/>
  <c r="E831" i="4"/>
  <c r="F831" i="4"/>
  <c r="G831" i="4"/>
  <c r="H831" i="4"/>
  <c r="I831" i="4"/>
  <c r="J831" i="4"/>
  <c r="K831" i="4"/>
  <c r="B832" i="4"/>
  <c r="C832" i="4"/>
  <c r="D832" i="4"/>
  <c r="E832" i="4"/>
  <c r="F832" i="4"/>
  <c r="G832" i="4"/>
  <c r="H832" i="4"/>
  <c r="I832" i="4"/>
  <c r="J832" i="4"/>
  <c r="K832" i="4"/>
  <c r="B833" i="4"/>
  <c r="C833" i="4"/>
  <c r="D833" i="4"/>
  <c r="E833" i="4"/>
  <c r="F833" i="4"/>
  <c r="G833" i="4"/>
  <c r="H833" i="4"/>
  <c r="I833" i="4"/>
  <c r="J833" i="4"/>
  <c r="K833" i="4"/>
  <c r="B834" i="4"/>
  <c r="C834" i="4"/>
  <c r="D834" i="4"/>
  <c r="E834" i="4"/>
  <c r="F834" i="4"/>
  <c r="G834" i="4"/>
  <c r="H834" i="4"/>
  <c r="I834" i="4"/>
  <c r="J834" i="4"/>
  <c r="K834" i="4"/>
  <c r="B835" i="4"/>
  <c r="C835" i="4"/>
  <c r="D835" i="4"/>
  <c r="E835" i="4"/>
  <c r="F835" i="4"/>
  <c r="G835" i="4"/>
  <c r="H835" i="4"/>
  <c r="I835" i="4"/>
  <c r="J835" i="4"/>
  <c r="K835" i="4"/>
  <c r="B836" i="4"/>
  <c r="C836" i="4"/>
  <c r="D836" i="4"/>
  <c r="E836" i="4"/>
  <c r="F836" i="4"/>
  <c r="G836" i="4"/>
  <c r="H836" i="4"/>
  <c r="I836" i="4"/>
  <c r="J836" i="4"/>
  <c r="K836" i="4"/>
  <c r="B837" i="4"/>
  <c r="C837" i="4"/>
  <c r="D837" i="4"/>
  <c r="E837" i="4"/>
  <c r="F837" i="4"/>
  <c r="G837" i="4"/>
  <c r="H837" i="4"/>
  <c r="I837" i="4"/>
  <c r="J837" i="4"/>
  <c r="K837" i="4"/>
  <c r="B838" i="4"/>
  <c r="C838" i="4"/>
  <c r="D838" i="4"/>
  <c r="E838" i="4"/>
  <c r="F838" i="4"/>
  <c r="G838" i="4"/>
  <c r="H838" i="4"/>
  <c r="I838" i="4"/>
  <c r="J838" i="4"/>
  <c r="K838" i="4"/>
  <c r="B839" i="4"/>
  <c r="C839" i="4"/>
  <c r="D839" i="4"/>
  <c r="E839" i="4"/>
  <c r="F839" i="4"/>
  <c r="G839" i="4"/>
  <c r="H839" i="4"/>
  <c r="I839" i="4"/>
  <c r="J839" i="4"/>
  <c r="K839" i="4"/>
  <c r="B840" i="4"/>
  <c r="C840" i="4"/>
  <c r="D840" i="4"/>
  <c r="E840" i="4"/>
  <c r="F840" i="4"/>
  <c r="G840" i="4"/>
  <c r="H840" i="4"/>
  <c r="I840" i="4"/>
  <c r="J840" i="4"/>
  <c r="K840" i="4"/>
  <c r="B841" i="4"/>
  <c r="C841" i="4"/>
  <c r="D841" i="4"/>
  <c r="E841" i="4"/>
  <c r="F841" i="4"/>
  <c r="G841" i="4"/>
  <c r="H841" i="4"/>
  <c r="I841" i="4"/>
  <c r="J841" i="4"/>
  <c r="K841" i="4"/>
  <c r="B842" i="4"/>
  <c r="C842" i="4"/>
  <c r="D842" i="4"/>
  <c r="E842" i="4"/>
  <c r="F842" i="4"/>
  <c r="G842" i="4"/>
  <c r="H842" i="4"/>
  <c r="I842" i="4"/>
  <c r="J842" i="4"/>
  <c r="K842" i="4"/>
  <c r="B843" i="4"/>
  <c r="C843" i="4"/>
  <c r="D843" i="4"/>
  <c r="E843" i="4"/>
  <c r="F843" i="4"/>
  <c r="G843" i="4"/>
  <c r="H843" i="4"/>
  <c r="I843" i="4"/>
  <c r="J843" i="4"/>
  <c r="K843" i="4"/>
  <c r="B844" i="4"/>
  <c r="C844" i="4"/>
  <c r="D844" i="4"/>
  <c r="E844" i="4"/>
  <c r="F844" i="4"/>
  <c r="G844" i="4"/>
  <c r="H844" i="4"/>
  <c r="I844" i="4"/>
  <c r="J844" i="4"/>
  <c r="K844" i="4"/>
  <c r="B845" i="4"/>
  <c r="C845" i="4"/>
  <c r="D845" i="4"/>
  <c r="E845" i="4"/>
  <c r="F845" i="4"/>
  <c r="G845" i="4"/>
  <c r="H845" i="4"/>
  <c r="I845" i="4"/>
  <c r="J845" i="4"/>
  <c r="K845" i="4"/>
  <c r="B846" i="4"/>
  <c r="C846" i="4"/>
  <c r="D846" i="4"/>
  <c r="E846" i="4"/>
  <c r="F846" i="4"/>
  <c r="G846" i="4"/>
  <c r="H846" i="4"/>
  <c r="I846" i="4"/>
  <c r="J846" i="4"/>
  <c r="K846" i="4"/>
  <c r="B847" i="4"/>
  <c r="C847" i="4"/>
  <c r="D847" i="4"/>
  <c r="E847" i="4"/>
  <c r="F847" i="4"/>
  <c r="G847" i="4"/>
  <c r="H847" i="4"/>
  <c r="I847" i="4"/>
  <c r="J847" i="4"/>
  <c r="K847" i="4"/>
  <c r="B848" i="4"/>
  <c r="C848" i="4"/>
  <c r="D848" i="4"/>
  <c r="E848" i="4"/>
  <c r="F848" i="4"/>
  <c r="G848" i="4"/>
  <c r="H848" i="4"/>
  <c r="I848" i="4"/>
  <c r="J848" i="4"/>
  <c r="K848" i="4"/>
  <c r="B849" i="4"/>
  <c r="C849" i="4"/>
  <c r="D849" i="4"/>
  <c r="E849" i="4"/>
  <c r="F849" i="4"/>
  <c r="G849" i="4"/>
  <c r="H849" i="4"/>
  <c r="I849" i="4"/>
  <c r="J849" i="4"/>
  <c r="K849" i="4"/>
  <c r="B850" i="4"/>
  <c r="C850" i="4"/>
  <c r="D850" i="4"/>
  <c r="E850" i="4"/>
  <c r="F850" i="4"/>
  <c r="G850" i="4"/>
  <c r="H850" i="4"/>
  <c r="I850" i="4"/>
  <c r="J850" i="4"/>
  <c r="K850" i="4"/>
  <c r="B851" i="4"/>
  <c r="C851" i="4"/>
  <c r="D851" i="4"/>
  <c r="E851" i="4"/>
  <c r="F851" i="4"/>
  <c r="G851" i="4"/>
  <c r="H851" i="4"/>
  <c r="I851" i="4"/>
  <c r="J851" i="4"/>
  <c r="K851" i="4"/>
  <c r="B852" i="4"/>
  <c r="C852" i="4"/>
  <c r="D852" i="4"/>
  <c r="E852" i="4"/>
  <c r="F852" i="4"/>
  <c r="G852" i="4"/>
  <c r="H852" i="4"/>
  <c r="I852" i="4"/>
  <c r="J852" i="4"/>
  <c r="K852" i="4"/>
  <c r="B853" i="4"/>
  <c r="C853" i="4"/>
  <c r="D853" i="4"/>
  <c r="E853" i="4"/>
  <c r="F853" i="4"/>
  <c r="G853" i="4"/>
  <c r="H853" i="4"/>
  <c r="I853" i="4"/>
  <c r="J853" i="4"/>
  <c r="K853" i="4"/>
  <c r="B854" i="4"/>
  <c r="C854" i="4"/>
  <c r="D854" i="4"/>
  <c r="E854" i="4"/>
  <c r="F854" i="4"/>
  <c r="G854" i="4"/>
  <c r="H854" i="4"/>
  <c r="I854" i="4"/>
  <c r="J854" i="4"/>
  <c r="K854" i="4"/>
  <c r="B855" i="4"/>
  <c r="C855" i="4"/>
  <c r="D855" i="4"/>
  <c r="E855" i="4"/>
  <c r="F855" i="4"/>
  <c r="G855" i="4"/>
  <c r="H855" i="4"/>
  <c r="I855" i="4"/>
  <c r="J855" i="4"/>
  <c r="K855" i="4"/>
  <c r="B856" i="4"/>
  <c r="C856" i="4"/>
  <c r="D856" i="4"/>
  <c r="E856" i="4"/>
  <c r="F856" i="4"/>
  <c r="G856" i="4"/>
  <c r="H856" i="4"/>
  <c r="I856" i="4"/>
  <c r="J856" i="4"/>
  <c r="K856" i="4"/>
  <c r="B857" i="4"/>
  <c r="C857" i="4"/>
  <c r="D857" i="4"/>
  <c r="E857" i="4"/>
  <c r="F857" i="4"/>
  <c r="G857" i="4"/>
  <c r="H857" i="4"/>
  <c r="I857" i="4"/>
  <c r="J857" i="4"/>
  <c r="K857" i="4"/>
  <c r="B858" i="4"/>
  <c r="C858" i="4"/>
  <c r="D858" i="4"/>
  <c r="E858" i="4"/>
  <c r="F858" i="4"/>
  <c r="G858" i="4"/>
  <c r="H858" i="4"/>
  <c r="I858" i="4"/>
  <c r="J858" i="4"/>
  <c r="K858" i="4"/>
  <c r="B859" i="4"/>
  <c r="C859" i="4"/>
  <c r="D859" i="4"/>
  <c r="E859" i="4"/>
  <c r="F859" i="4"/>
  <c r="G859" i="4"/>
  <c r="H859" i="4"/>
  <c r="I859" i="4"/>
  <c r="J859" i="4"/>
  <c r="K859" i="4"/>
  <c r="B860" i="4"/>
  <c r="C860" i="4"/>
  <c r="D860" i="4"/>
  <c r="E860" i="4"/>
  <c r="F860" i="4"/>
  <c r="G860" i="4"/>
  <c r="H860" i="4"/>
  <c r="I860" i="4"/>
  <c r="J860" i="4"/>
  <c r="K860" i="4"/>
  <c r="B861" i="4"/>
  <c r="C861" i="4"/>
  <c r="D861" i="4"/>
  <c r="E861" i="4"/>
  <c r="F861" i="4"/>
  <c r="G861" i="4"/>
  <c r="H861" i="4"/>
  <c r="I861" i="4"/>
  <c r="J861" i="4"/>
  <c r="K861" i="4"/>
  <c r="B862" i="4"/>
  <c r="C862" i="4"/>
  <c r="D862" i="4"/>
  <c r="E862" i="4"/>
  <c r="F862" i="4"/>
  <c r="G862" i="4"/>
  <c r="H862" i="4"/>
  <c r="I862" i="4"/>
  <c r="J862" i="4"/>
  <c r="K862" i="4"/>
  <c r="B863" i="4"/>
  <c r="C863" i="4"/>
  <c r="D863" i="4"/>
  <c r="E863" i="4"/>
  <c r="F863" i="4"/>
  <c r="G863" i="4"/>
  <c r="H863" i="4"/>
  <c r="I863" i="4"/>
  <c r="J863" i="4"/>
  <c r="K863" i="4"/>
  <c r="B864" i="4"/>
  <c r="C864" i="4"/>
  <c r="D864" i="4"/>
  <c r="E864" i="4"/>
  <c r="F864" i="4"/>
  <c r="G864" i="4"/>
  <c r="H864" i="4"/>
  <c r="I864" i="4"/>
  <c r="J864" i="4"/>
  <c r="K864" i="4"/>
  <c r="B865" i="4"/>
  <c r="C865" i="4"/>
  <c r="D865" i="4"/>
  <c r="E865" i="4"/>
  <c r="F865" i="4"/>
  <c r="G865" i="4"/>
  <c r="H865" i="4"/>
  <c r="I865" i="4"/>
  <c r="J865" i="4"/>
  <c r="K865" i="4"/>
  <c r="B866" i="4"/>
  <c r="C866" i="4"/>
  <c r="D866" i="4"/>
  <c r="E866" i="4"/>
  <c r="F866" i="4"/>
  <c r="G866" i="4"/>
  <c r="H866" i="4"/>
  <c r="I866" i="4"/>
  <c r="J866" i="4"/>
  <c r="K866" i="4"/>
  <c r="B867" i="4"/>
  <c r="C867" i="4"/>
  <c r="D867" i="4"/>
  <c r="E867" i="4"/>
  <c r="F867" i="4"/>
  <c r="G867" i="4"/>
  <c r="H867" i="4"/>
  <c r="I867" i="4"/>
  <c r="J867" i="4"/>
  <c r="K867" i="4"/>
  <c r="B868" i="4"/>
  <c r="C868" i="4"/>
  <c r="D868" i="4"/>
  <c r="E868" i="4"/>
  <c r="F868" i="4"/>
  <c r="G868" i="4"/>
  <c r="H868" i="4"/>
  <c r="I868" i="4"/>
  <c r="J868" i="4"/>
  <c r="K868" i="4"/>
  <c r="B869" i="4"/>
  <c r="C869" i="4"/>
  <c r="D869" i="4"/>
  <c r="E869" i="4"/>
  <c r="F869" i="4"/>
  <c r="G869" i="4"/>
  <c r="H869" i="4"/>
  <c r="I869" i="4"/>
  <c r="J869" i="4"/>
  <c r="K869" i="4"/>
  <c r="B870" i="4"/>
  <c r="C870" i="4"/>
  <c r="D870" i="4"/>
  <c r="E870" i="4"/>
  <c r="F870" i="4"/>
  <c r="G870" i="4"/>
  <c r="H870" i="4"/>
  <c r="I870" i="4"/>
  <c r="J870" i="4"/>
  <c r="K870" i="4"/>
  <c r="B871" i="4"/>
  <c r="C871" i="4"/>
  <c r="D871" i="4"/>
  <c r="E871" i="4"/>
  <c r="F871" i="4"/>
  <c r="G871" i="4"/>
  <c r="H871" i="4"/>
  <c r="I871" i="4"/>
  <c r="J871" i="4"/>
  <c r="K871" i="4"/>
  <c r="B872" i="4"/>
  <c r="C872" i="4"/>
  <c r="D872" i="4"/>
  <c r="E872" i="4"/>
  <c r="F872" i="4"/>
  <c r="G872" i="4"/>
  <c r="H872" i="4"/>
  <c r="I872" i="4"/>
  <c r="J872" i="4"/>
  <c r="K872" i="4"/>
  <c r="B873" i="4"/>
  <c r="C873" i="4"/>
  <c r="D873" i="4"/>
  <c r="E873" i="4"/>
  <c r="F873" i="4"/>
  <c r="G873" i="4"/>
  <c r="H873" i="4"/>
  <c r="I873" i="4"/>
  <c r="J873" i="4"/>
  <c r="K873" i="4"/>
  <c r="B874" i="4"/>
  <c r="C874" i="4"/>
  <c r="D874" i="4"/>
  <c r="E874" i="4"/>
  <c r="F874" i="4"/>
  <c r="G874" i="4"/>
  <c r="H874" i="4"/>
  <c r="I874" i="4"/>
  <c r="J874" i="4"/>
  <c r="K874" i="4"/>
  <c r="B875" i="4"/>
  <c r="C875" i="4"/>
  <c r="D875" i="4"/>
  <c r="E875" i="4"/>
  <c r="F875" i="4"/>
  <c r="G875" i="4"/>
  <c r="H875" i="4"/>
  <c r="I875" i="4"/>
  <c r="J875" i="4"/>
  <c r="K875" i="4"/>
  <c r="B876" i="4"/>
  <c r="C876" i="4"/>
  <c r="D876" i="4"/>
  <c r="E876" i="4"/>
  <c r="F876" i="4"/>
  <c r="G876" i="4"/>
  <c r="H876" i="4"/>
  <c r="I876" i="4"/>
  <c r="J876" i="4"/>
  <c r="K876" i="4"/>
  <c r="B877" i="4"/>
  <c r="C877" i="4"/>
  <c r="D877" i="4"/>
  <c r="E877" i="4"/>
  <c r="F877" i="4"/>
  <c r="G877" i="4"/>
  <c r="H877" i="4"/>
  <c r="I877" i="4"/>
  <c r="J877" i="4"/>
  <c r="K877" i="4"/>
  <c r="B878" i="4"/>
  <c r="C878" i="4"/>
  <c r="D878" i="4"/>
  <c r="E878" i="4"/>
  <c r="F878" i="4"/>
  <c r="G878" i="4"/>
  <c r="H878" i="4"/>
  <c r="I878" i="4"/>
  <c r="J878" i="4"/>
  <c r="K878" i="4"/>
  <c r="B879" i="4"/>
  <c r="C879" i="4"/>
  <c r="D879" i="4"/>
  <c r="E879" i="4"/>
  <c r="F879" i="4"/>
  <c r="G879" i="4"/>
  <c r="H879" i="4"/>
  <c r="I879" i="4"/>
  <c r="J879" i="4"/>
  <c r="K879" i="4"/>
  <c r="B880" i="4"/>
  <c r="C880" i="4"/>
  <c r="D880" i="4"/>
  <c r="E880" i="4"/>
  <c r="F880" i="4"/>
  <c r="G880" i="4"/>
  <c r="H880" i="4"/>
  <c r="I880" i="4"/>
  <c r="J880" i="4"/>
  <c r="K880" i="4"/>
  <c r="B881" i="4"/>
  <c r="C881" i="4"/>
  <c r="D881" i="4"/>
  <c r="E881" i="4"/>
  <c r="F881" i="4"/>
  <c r="G881" i="4"/>
  <c r="H881" i="4"/>
  <c r="I881" i="4"/>
  <c r="J881" i="4"/>
  <c r="K881" i="4"/>
  <c r="B882" i="4"/>
  <c r="C882" i="4"/>
  <c r="D882" i="4"/>
  <c r="E882" i="4"/>
  <c r="F882" i="4"/>
  <c r="G882" i="4"/>
  <c r="H882" i="4"/>
  <c r="I882" i="4"/>
  <c r="J882" i="4"/>
  <c r="K882" i="4"/>
  <c r="B883" i="4"/>
  <c r="C883" i="4"/>
  <c r="D883" i="4"/>
  <c r="E883" i="4"/>
  <c r="F883" i="4"/>
  <c r="G883" i="4"/>
  <c r="H883" i="4"/>
  <c r="I883" i="4"/>
  <c r="J883" i="4"/>
  <c r="K883" i="4"/>
  <c r="B884" i="4"/>
  <c r="C884" i="4"/>
  <c r="D884" i="4"/>
  <c r="E884" i="4"/>
  <c r="F884" i="4"/>
  <c r="G884" i="4"/>
  <c r="H884" i="4"/>
  <c r="I884" i="4"/>
  <c r="J884" i="4"/>
  <c r="K884" i="4"/>
  <c r="B885" i="4"/>
  <c r="C885" i="4"/>
  <c r="D885" i="4"/>
  <c r="E885" i="4"/>
  <c r="F885" i="4"/>
  <c r="G885" i="4"/>
  <c r="H885" i="4"/>
  <c r="I885" i="4"/>
  <c r="J885" i="4"/>
  <c r="K885" i="4"/>
  <c r="B886" i="4"/>
  <c r="C886" i="4"/>
  <c r="D886" i="4"/>
  <c r="E886" i="4"/>
  <c r="F886" i="4"/>
  <c r="G886" i="4"/>
  <c r="H886" i="4"/>
  <c r="I886" i="4"/>
  <c r="J886" i="4"/>
  <c r="K886" i="4"/>
  <c r="B887" i="4"/>
  <c r="C887" i="4"/>
  <c r="D887" i="4"/>
  <c r="E887" i="4"/>
  <c r="F887" i="4"/>
  <c r="G887" i="4"/>
  <c r="H887" i="4"/>
  <c r="I887" i="4"/>
  <c r="J887" i="4"/>
  <c r="K887" i="4"/>
  <c r="B888" i="4"/>
  <c r="C888" i="4"/>
  <c r="D888" i="4"/>
  <c r="E888" i="4"/>
  <c r="F888" i="4"/>
  <c r="G888" i="4"/>
  <c r="H888" i="4"/>
  <c r="I888" i="4"/>
  <c r="J888" i="4"/>
  <c r="K888" i="4"/>
  <c r="B889" i="4"/>
  <c r="C889" i="4"/>
  <c r="D889" i="4"/>
  <c r="E889" i="4"/>
  <c r="F889" i="4"/>
  <c r="G889" i="4"/>
  <c r="H889" i="4"/>
  <c r="I889" i="4"/>
  <c r="J889" i="4"/>
  <c r="K889" i="4"/>
  <c r="B890" i="4"/>
  <c r="C890" i="4"/>
  <c r="D890" i="4"/>
  <c r="E890" i="4"/>
  <c r="F890" i="4"/>
  <c r="G890" i="4"/>
  <c r="H890" i="4"/>
  <c r="I890" i="4"/>
  <c r="J890" i="4"/>
  <c r="K890" i="4"/>
  <c r="B891" i="4"/>
  <c r="C891" i="4"/>
  <c r="D891" i="4"/>
  <c r="E891" i="4"/>
  <c r="F891" i="4"/>
  <c r="G891" i="4"/>
  <c r="H891" i="4"/>
  <c r="I891" i="4"/>
  <c r="J891" i="4"/>
  <c r="K891" i="4"/>
  <c r="B892" i="4"/>
  <c r="C892" i="4"/>
  <c r="D892" i="4"/>
  <c r="E892" i="4"/>
  <c r="F892" i="4"/>
  <c r="G892" i="4"/>
  <c r="H892" i="4"/>
  <c r="I892" i="4"/>
  <c r="J892" i="4"/>
  <c r="K892" i="4"/>
  <c r="B893" i="4"/>
  <c r="C893" i="4"/>
  <c r="D893" i="4"/>
  <c r="E893" i="4"/>
  <c r="F893" i="4"/>
  <c r="G893" i="4"/>
  <c r="H893" i="4"/>
  <c r="I893" i="4"/>
  <c r="J893" i="4"/>
  <c r="K893" i="4"/>
  <c r="B894" i="4"/>
  <c r="C894" i="4"/>
  <c r="D894" i="4"/>
  <c r="E894" i="4"/>
  <c r="F894" i="4"/>
  <c r="G894" i="4"/>
  <c r="H894" i="4"/>
  <c r="I894" i="4"/>
  <c r="J894" i="4"/>
  <c r="K894" i="4"/>
  <c r="B895" i="4"/>
  <c r="C895" i="4"/>
  <c r="D895" i="4"/>
  <c r="E895" i="4"/>
  <c r="F895" i="4"/>
  <c r="G895" i="4"/>
  <c r="H895" i="4"/>
  <c r="I895" i="4"/>
  <c r="J895" i="4"/>
  <c r="K895" i="4"/>
  <c r="B896" i="4"/>
  <c r="C896" i="4"/>
  <c r="D896" i="4"/>
  <c r="E896" i="4"/>
  <c r="F896" i="4"/>
  <c r="G896" i="4"/>
  <c r="H896" i="4"/>
  <c r="I896" i="4"/>
  <c r="J896" i="4"/>
  <c r="K896" i="4"/>
  <c r="B897" i="4"/>
  <c r="C897" i="4"/>
  <c r="D897" i="4"/>
  <c r="E897" i="4"/>
  <c r="F897" i="4"/>
  <c r="G897" i="4"/>
  <c r="H897" i="4"/>
  <c r="I897" i="4"/>
  <c r="J897" i="4"/>
  <c r="K897" i="4"/>
  <c r="B898" i="4"/>
  <c r="C898" i="4"/>
  <c r="D898" i="4"/>
  <c r="E898" i="4"/>
  <c r="F898" i="4"/>
  <c r="G898" i="4"/>
  <c r="H898" i="4"/>
  <c r="I898" i="4"/>
  <c r="J898" i="4"/>
  <c r="K898" i="4"/>
  <c r="B899" i="4"/>
  <c r="C899" i="4"/>
  <c r="D899" i="4"/>
  <c r="E899" i="4"/>
  <c r="F899" i="4"/>
  <c r="G899" i="4"/>
  <c r="H899" i="4"/>
  <c r="I899" i="4"/>
  <c r="J899" i="4"/>
  <c r="K899" i="4"/>
  <c r="B900" i="4"/>
  <c r="C900" i="4"/>
  <c r="D900" i="4"/>
  <c r="E900" i="4"/>
  <c r="F900" i="4"/>
  <c r="G900" i="4"/>
  <c r="H900" i="4"/>
  <c r="I900" i="4"/>
  <c r="J900" i="4"/>
  <c r="K900" i="4"/>
  <c r="B901" i="4"/>
  <c r="C901" i="4"/>
  <c r="D901" i="4"/>
  <c r="E901" i="4"/>
  <c r="F901" i="4"/>
  <c r="G901" i="4"/>
  <c r="H901" i="4"/>
  <c r="I901" i="4"/>
  <c r="J901" i="4"/>
  <c r="K901" i="4"/>
  <c r="B902" i="4"/>
  <c r="C902" i="4"/>
  <c r="D902" i="4"/>
  <c r="E902" i="4"/>
  <c r="F902" i="4"/>
  <c r="G902" i="4"/>
  <c r="H902" i="4"/>
  <c r="I902" i="4"/>
  <c r="J902" i="4"/>
  <c r="K902" i="4"/>
  <c r="B903" i="4"/>
  <c r="C903" i="4"/>
  <c r="D903" i="4"/>
  <c r="E903" i="4"/>
  <c r="F903" i="4"/>
  <c r="G903" i="4"/>
  <c r="H903" i="4"/>
  <c r="I903" i="4"/>
  <c r="J903" i="4"/>
  <c r="K903" i="4"/>
  <c r="B904" i="4"/>
  <c r="C904" i="4"/>
  <c r="D904" i="4"/>
  <c r="E904" i="4"/>
  <c r="F904" i="4"/>
  <c r="G904" i="4"/>
  <c r="H904" i="4"/>
  <c r="I904" i="4"/>
  <c r="J904" i="4"/>
  <c r="K904" i="4"/>
  <c r="B905" i="4"/>
  <c r="C905" i="4"/>
  <c r="D905" i="4"/>
  <c r="E905" i="4"/>
  <c r="F905" i="4"/>
  <c r="G905" i="4"/>
  <c r="H905" i="4"/>
  <c r="I905" i="4"/>
  <c r="J905" i="4"/>
  <c r="K905" i="4"/>
  <c r="B906" i="4"/>
  <c r="C906" i="4"/>
  <c r="D906" i="4"/>
  <c r="E906" i="4"/>
  <c r="F906" i="4"/>
  <c r="G906" i="4"/>
  <c r="H906" i="4"/>
  <c r="I906" i="4"/>
  <c r="J906" i="4"/>
  <c r="K906" i="4"/>
  <c r="B907" i="4"/>
  <c r="C907" i="4"/>
  <c r="D907" i="4"/>
  <c r="E907" i="4"/>
  <c r="F907" i="4"/>
  <c r="G907" i="4"/>
  <c r="H907" i="4"/>
  <c r="I907" i="4"/>
  <c r="J907" i="4"/>
  <c r="K907" i="4"/>
  <c r="B908" i="4"/>
  <c r="C908" i="4"/>
  <c r="D908" i="4"/>
  <c r="E908" i="4"/>
  <c r="F908" i="4"/>
  <c r="G908" i="4"/>
  <c r="H908" i="4"/>
  <c r="I908" i="4"/>
  <c r="J908" i="4"/>
  <c r="K908" i="4"/>
  <c r="B909" i="4"/>
  <c r="C909" i="4"/>
  <c r="D909" i="4"/>
  <c r="E909" i="4"/>
  <c r="F909" i="4"/>
  <c r="G909" i="4"/>
  <c r="H909" i="4"/>
  <c r="I909" i="4"/>
  <c r="J909" i="4"/>
  <c r="K909" i="4"/>
  <c r="B910" i="4"/>
  <c r="C910" i="4"/>
  <c r="D910" i="4"/>
  <c r="E910" i="4"/>
  <c r="F910" i="4"/>
  <c r="G910" i="4"/>
  <c r="H910" i="4"/>
  <c r="I910" i="4"/>
  <c r="J910" i="4"/>
  <c r="K910" i="4"/>
  <c r="B911" i="4"/>
  <c r="C911" i="4"/>
  <c r="D911" i="4"/>
  <c r="E911" i="4"/>
  <c r="F911" i="4"/>
  <c r="G911" i="4"/>
  <c r="H911" i="4"/>
  <c r="I911" i="4"/>
  <c r="J911" i="4"/>
  <c r="K911" i="4"/>
  <c r="B912" i="4"/>
  <c r="C912" i="4"/>
  <c r="D912" i="4"/>
  <c r="E912" i="4"/>
  <c r="F912" i="4"/>
  <c r="G912" i="4"/>
  <c r="H912" i="4"/>
  <c r="I912" i="4"/>
  <c r="J912" i="4"/>
  <c r="K912" i="4"/>
  <c r="B913" i="4"/>
  <c r="C913" i="4"/>
  <c r="D913" i="4"/>
  <c r="E913" i="4"/>
  <c r="F913" i="4"/>
  <c r="G913" i="4"/>
  <c r="H913" i="4"/>
  <c r="I913" i="4"/>
  <c r="J913" i="4"/>
  <c r="K913" i="4"/>
  <c r="B914" i="4"/>
  <c r="C914" i="4"/>
  <c r="D914" i="4"/>
  <c r="E914" i="4"/>
  <c r="F914" i="4"/>
  <c r="G914" i="4"/>
  <c r="H914" i="4"/>
  <c r="I914" i="4"/>
  <c r="J914" i="4"/>
  <c r="K914" i="4"/>
  <c r="B915" i="4"/>
  <c r="C915" i="4"/>
  <c r="D915" i="4"/>
  <c r="E915" i="4"/>
  <c r="F915" i="4"/>
  <c r="G915" i="4"/>
  <c r="H915" i="4"/>
  <c r="I915" i="4"/>
  <c r="J915" i="4"/>
  <c r="K915" i="4"/>
  <c r="B916" i="4"/>
  <c r="C916" i="4"/>
  <c r="D916" i="4"/>
  <c r="E916" i="4"/>
  <c r="F916" i="4"/>
  <c r="G916" i="4"/>
  <c r="H916" i="4"/>
  <c r="I916" i="4"/>
  <c r="J916" i="4"/>
  <c r="K916" i="4"/>
  <c r="B917" i="4"/>
  <c r="C917" i="4"/>
  <c r="D917" i="4"/>
  <c r="E917" i="4"/>
  <c r="F917" i="4"/>
  <c r="G917" i="4"/>
  <c r="H917" i="4"/>
  <c r="I917" i="4"/>
  <c r="J917" i="4"/>
  <c r="K917" i="4"/>
  <c r="B918" i="4"/>
  <c r="C918" i="4"/>
  <c r="D918" i="4"/>
  <c r="E918" i="4"/>
  <c r="F918" i="4"/>
  <c r="G918" i="4"/>
  <c r="H918" i="4"/>
  <c r="I918" i="4"/>
  <c r="J918" i="4"/>
  <c r="K918" i="4"/>
  <c r="B919" i="4"/>
  <c r="C919" i="4"/>
  <c r="D919" i="4"/>
  <c r="E919" i="4"/>
  <c r="F919" i="4"/>
  <c r="G919" i="4"/>
  <c r="H919" i="4"/>
  <c r="I919" i="4"/>
  <c r="J919" i="4"/>
  <c r="K919" i="4"/>
  <c r="B920" i="4"/>
  <c r="C920" i="4"/>
  <c r="D920" i="4"/>
  <c r="E920" i="4"/>
  <c r="F920" i="4"/>
  <c r="G920" i="4"/>
  <c r="H920" i="4"/>
  <c r="I920" i="4"/>
  <c r="J920" i="4"/>
  <c r="K920" i="4"/>
  <c r="B921" i="4"/>
  <c r="C921" i="4"/>
  <c r="D921" i="4"/>
  <c r="E921" i="4"/>
  <c r="F921" i="4"/>
  <c r="G921" i="4"/>
  <c r="H921" i="4"/>
  <c r="I921" i="4"/>
  <c r="J921" i="4"/>
  <c r="K921" i="4"/>
  <c r="B922" i="4"/>
  <c r="C922" i="4"/>
  <c r="D922" i="4"/>
  <c r="E922" i="4"/>
  <c r="F922" i="4"/>
  <c r="G922" i="4"/>
  <c r="H922" i="4"/>
  <c r="I922" i="4"/>
  <c r="J922" i="4"/>
  <c r="K922" i="4"/>
  <c r="B923" i="4"/>
  <c r="C923" i="4"/>
  <c r="D923" i="4"/>
  <c r="E923" i="4"/>
  <c r="F923" i="4"/>
  <c r="G923" i="4"/>
  <c r="H923" i="4"/>
  <c r="I923" i="4"/>
  <c r="J923" i="4"/>
  <c r="K923" i="4"/>
  <c r="B924" i="4"/>
  <c r="C924" i="4"/>
  <c r="D924" i="4"/>
  <c r="E924" i="4"/>
  <c r="F924" i="4"/>
  <c r="G924" i="4"/>
  <c r="H924" i="4"/>
  <c r="I924" i="4"/>
  <c r="J924" i="4"/>
  <c r="K924" i="4"/>
  <c r="B925" i="4"/>
  <c r="C925" i="4"/>
  <c r="D925" i="4"/>
  <c r="E925" i="4"/>
  <c r="F925" i="4"/>
  <c r="G925" i="4"/>
  <c r="H925" i="4"/>
  <c r="I925" i="4"/>
  <c r="J925" i="4"/>
  <c r="K925" i="4"/>
  <c r="B926" i="4"/>
  <c r="C926" i="4"/>
  <c r="D926" i="4"/>
  <c r="E926" i="4"/>
  <c r="F926" i="4"/>
  <c r="G926" i="4"/>
  <c r="H926" i="4"/>
  <c r="I926" i="4"/>
  <c r="J926" i="4"/>
  <c r="K926" i="4"/>
  <c r="B927" i="4"/>
  <c r="C927" i="4"/>
  <c r="D927" i="4"/>
  <c r="E927" i="4"/>
  <c r="F927" i="4"/>
  <c r="G927" i="4"/>
  <c r="H927" i="4"/>
  <c r="I927" i="4"/>
  <c r="J927" i="4"/>
  <c r="K927" i="4"/>
  <c r="B928" i="4"/>
  <c r="C928" i="4"/>
  <c r="D928" i="4"/>
  <c r="E928" i="4"/>
  <c r="F928" i="4"/>
  <c r="G928" i="4"/>
  <c r="H928" i="4"/>
  <c r="I928" i="4"/>
  <c r="J928" i="4"/>
  <c r="K928" i="4"/>
  <c r="B929" i="4"/>
  <c r="C929" i="4"/>
  <c r="D929" i="4"/>
  <c r="E929" i="4"/>
  <c r="F929" i="4"/>
  <c r="G929" i="4"/>
  <c r="H929" i="4"/>
  <c r="I929" i="4"/>
  <c r="J929" i="4"/>
  <c r="K929" i="4"/>
  <c r="B930" i="4"/>
  <c r="C930" i="4"/>
  <c r="D930" i="4"/>
  <c r="E930" i="4"/>
  <c r="F930" i="4"/>
  <c r="G930" i="4"/>
  <c r="H930" i="4"/>
  <c r="I930" i="4"/>
  <c r="J930" i="4"/>
  <c r="K930" i="4"/>
  <c r="B931" i="4"/>
  <c r="C931" i="4"/>
  <c r="D931" i="4"/>
  <c r="E931" i="4"/>
  <c r="F931" i="4"/>
  <c r="G931" i="4"/>
  <c r="H931" i="4"/>
  <c r="I931" i="4"/>
  <c r="J931" i="4"/>
  <c r="K931" i="4"/>
  <c r="B932" i="4"/>
  <c r="C932" i="4"/>
  <c r="D932" i="4"/>
  <c r="E932" i="4"/>
  <c r="F932" i="4"/>
  <c r="G932" i="4"/>
  <c r="H932" i="4"/>
  <c r="I932" i="4"/>
  <c r="J932" i="4"/>
  <c r="K932" i="4"/>
  <c r="B933" i="4"/>
  <c r="C933" i="4"/>
  <c r="D933" i="4"/>
  <c r="E933" i="4"/>
  <c r="F933" i="4"/>
  <c r="G933" i="4"/>
  <c r="H933" i="4"/>
  <c r="I933" i="4"/>
  <c r="J933" i="4"/>
  <c r="K933" i="4"/>
  <c r="B934" i="4"/>
  <c r="C934" i="4"/>
  <c r="D934" i="4"/>
  <c r="E934" i="4"/>
  <c r="F934" i="4"/>
  <c r="G934" i="4"/>
  <c r="H934" i="4"/>
  <c r="I934" i="4"/>
  <c r="J934" i="4"/>
  <c r="K934" i="4"/>
  <c r="B935" i="4"/>
  <c r="C935" i="4"/>
  <c r="D935" i="4"/>
  <c r="E935" i="4"/>
  <c r="F935" i="4"/>
  <c r="G935" i="4"/>
  <c r="H935" i="4"/>
  <c r="I935" i="4"/>
  <c r="J935" i="4"/>
  <c r="K935" i="4"/>
  <c r="B936" i="4"/>
  <c r="C936" i="4"/>
  <c r="D936" i="4"/>
  <c r="E936" i="4"/>
  <c r="F936" i="4"/>
  <c r="G936" i="4"/>
  <c r="H936" i="4"/>
  <c r="I936" i="4"/>
  <c r="J936" i="4"/>
  <c r="K936" i="4"/>
  <c r="B937" i="4"/>
  <c r="C937" i="4"/>
  <c r="D937" i="4"/>
  <c r="E937" i="4"/>
  <c r="F937" i="4"/>
  <c r="G937" i="4"/>
  <c r="H937" i="4"/>
  <c r="I937" i="4"/>
  <c r="J937" i="4"/>
  <c r="K937" i="4"/>
  <c r="B938" i="4"/>
  <c r="C938" i="4"/>
  <c r="D938" i="4"/>
  <c r="E938" i="4"/>
  <c r="F938" i="4"/>
  <c r="G938" i="4"/>
  <c r="H938" i="4"/>
  <c r="I938" i="4"/>
  <c r="J938" i="4"/>
  <c r="K938" i="4"/>
  <c r="B939" i="4"/>
  <c r="C939" i="4"/>
  <c r="D939" i="4"/>
  <c r="E939" i="4"/>
  <c r="F939" i="4"/>
  <c r="G939" i="4"/>
  <c r="H939" i="4"/>
  <c r="I939" i="4"/>
  <c r="J939" i="4"/>
  <c r="K939" i="4"/>
  <c r="B940" i="4"/>
  <c r="C940" i="4"/>
  <c r="D940" i="4"/>
  <c r="E940" i="4"/>
  <c r="F940" i="4"/>
  <c r="G940" i="4"/>
  <c r="H940" i="4"/>
  <c r="I940" i="4"/>
  <c r="J940" i="4"/>
  <c r="K940" i="4"/>
  <c r="B941" i="4"/>
  <c r="C941" i="4"/>
  <c r="D941" i="4"/>
  <c r="E941" i="4"/>
  <c r="F941" i="4"/>
  <c r="G941" i="4"/>
  <c r="H941" i="4"/>
  <c r="I941" i="4"/>
  <c r="J941" i="4"/>
  <c r="K941" i="4"/>
  <c r="B942" i="4"/>
  <c r="C942" i="4"/>
  <c r="D942" i="4"/>
  <c r="E942" i="4"/>
  <c r="F942" i="4"/>
  <c r="G942" i="4"/>
  <c r="H942" i="4"/>
  <c r="I942" i="4"/>
  <c r="J942" i="4"/>
  <c r="K942" i="4"/>
  <c r="B943" i="4"/>
  <c r="C943" i="4"/>
  <c r="D943" i="4"/>
  <c r="E943" i="4"/>
  <c r="F943" i="4"/>
  <c r="G943" i="4"/>
  <c r="H943" i="4"/>
  <c r="I943" i="4"/>
  <c r="J943" i="4"/>
  <c r="K943" i="4"/>
  <c r="B944" i="4"/>
  <c r="C944" i="4"/>
  <c r="D944" i="4"/>
  <c r="E944" i="4"/>
  <c r="F944" i="4"/>
  <c r="G944" i="4"/>
  <c r="H944" i="4"/>
  <c r="I944" i="4"/>
  <c r="J944" i="4"/>
  <c r="K944" i="4"/>
  <c r="B945" i="4"/>
  <c r="C945" i="4"/>
  <c r="D945" i="4"/>
  <c r="E945" i="4"/>
  <c r="F945" i="4"/>
  <c r="G945" i="4"/>
  <c r="H945" i="4"/>
  <c r="I945" i="4"/>
  <c r="J945" i="4"/>
  <c r="K945" i="4"/>
  <c r="B946" i="4"/>
  <c r="C946" i="4"/>
  <c r="D946" i="4"/>
  <c r="E946" i="4"/>
  <c r="F946" i="4"/>
  <c r="G946" i="4"/>
  <c r="H946" i="4"/>
  <c r="I946" i="4"/>
  <c r="J946" i="4"/>
  <c r="K946" i="4"/>
  <c r="B947" i="4"/>
  <c r="C947" i="4"/>
  <c r="D947" i="4"/>
  <c r="E947" i="4"/>
  <c r="F947" i="4"/>
  <c r="G947" i="4"/>
  <c r="H947" i="4"/>
  <c r="I947" i="4"/>
  <c r="J947" i="4"/>
  <c r="K947" i="4"/>
  <c r="B948" i="4"/>
  <c r="C948" i="4"/>
  <c r="D948" i="4"/>
  <c r="E948" i="4"/>
  <c r="F948" i="4"/>
  <c r="G948" i="4"/>
  <c r="H948" i="4"/>
  <c r="I948" i="4"/>
  <c r="J948" i="4"/>
  <c r="K948" i="4"/>
  <c r="B949" i="4"/>
  <c r="C949" i="4"/>
  <c r="D949" i="4"/>
  <c r="E949" i="4"/>
  <c r="F949" i="4"/>
  <c r="G949" i="4"/>
  <c r="H949" i="4"/>
  <c r="I949" i="4"/>
  <c r="J949" i="4"/>
  <c r="K949" i="4"/>
  <c r="B950" i="4"/>
  <c r="C950" i="4"/>
  <c r="D950" i="4"/>
  <c r="E950" i="4"/>
  <c r="F950" i="4"/>
  <c r="G950" i="4"/>
  <c r="H950" i="4"/>
  <c r="I950" i="4"/>
  <c r="J950" i="4"/>
  <c r="K950" i="4"/>
  <c r="B951" i="4"/>
  <c r="C951" i="4"/>
  <c r="D951" i="4"/>
  <c r="E951" i="4"/>
  <c r="F951" i="4"/>
  <c r="G951" i="4"/>
  <c r="H951" i="4"/>
  <c r="I951" i="4"/>
  <c r="J951" i="4"/>
  <c r="K951" i="4"/>
  <c r="B952" i="4"/>
  <c r="C952" i="4"/>
  <c r="D952" i="4"/>
  <c r="E952" i="4"/>
  <c r="F952" i="4"/>
  <c r="G952" i="4"/>
  <c r="H952" i="4"/>
  <c r="I952" i="4"/>
  <c r="J952" i="4"/>
  <c r="K952" i="4"/>
  <c r="B953" i="4"/>
  <c r="C953" i="4"/>
  <c r="D953" i="4"/>
  <c r="E953" i="4"/>
  <c r="F953" i="4"/>
  <c r="G953" i="4"/>
  <c r="H953" i="4"/>
  <c r="I953" i="4"/>
  <c r="J953" i="4"/>
  <c r="K953" i="4"/>
  <c r="B954" i="4"/>
  <c r="C954" i="4"/>
  <c r="D954" i="4"/>
  <c r="E954" i="4"/>
  <c r="F954" i="4"/>
  <c r="G954" i="4"/>
  <c r="H954" i="4"/>
  <c r="I954" i="4"/>
  <c r="J954" i="4"/>
  <c r="K954" i="4"/>
  <c r="B955" i="4"/>
  <c r="C955" i="4"/>
  <c r="D955" i="4"/>
  <c r="E955" i="4"/>
  <c r="F955" i="4"/>
  <c r="G955" i="4"/>
  <c r="H955" i="4"/>
  <c r="I955" i="4"/>
  <c r="J955" i="4"/>
  <c r="K955" i="4"/>
  <c r="B956" i="4"/>
  <c r="C956" i="4"/>
  <c r="D956" i="4"/>
  <c r="E956" i="4"/>
  <c r="F956" i="4"/>
  <c r="G956" i="4"/>
  <c r="H956" i="4"/>
  <c r="I956" i="4"/>
  <c r="J956" i="4"/>
  <c r="K956" i="4"/>
  <c r="B957" i="4"/>
  <c r="C957" i="4"/>
  <c r="D957" i="4"/>
  <c r="E957" i="4"/>
  <c r="F957" i="4"/>
  <c r="G957" i="4"/>
  <c r="H957" i="4"/>
  <c r="I957" i="4"/>
  <c r="J957" i="4"/>
  <c r="K957" i="4"/>
  <c r="B958" i="4"/>
  <c r="C958" i="4"/>
  <c r="D958" i="4"/>
  <c r="E958" i="4"/>
  <c r="F958" i="4"/>
  <c r="G958" i="4"/>
  <c r="H958" i="4"/>
  <c r="I958" i="4"/>
  <c r="J958" i="4"/>
  <c r="K958" i="4"/>
  <c r="B959" i="4"/>
  <c r="C959" i="4"/>
  <c r="D959" i="4"/>
  <c r="E959" i="4"/>
  <c r="F959" i="4"/>
  <c r="G959" i="4"/>
  <c r="H959" i="4"/>
  <c r="I959" i="4"/>
  <c r="J959" i="4"/>
  <c r="K959" i="4"/>
  <c r="B960" i="4"/>
  <c r="C960" i="4"/>
  <c r="D960" i="4"/>
  <c r="E960" i="4"/>
  <c r="F960" i="4"/>
  <c r="G960" i="4"/>
  <c r="H960" i="4"/>
  <c r="I960" i="4"/>
  <c r="J960" i="4"/>
  <c r="K960" i="4"/>
  <c r="B961" i="4"/>
  <c r="C961" i="4"/>
  <c r="D961" i="4"/>
  <c r="E961" i="4"/>
  <c r="F961" i="4"/>
  <c r="G961" i="4"/>
  <c r="H961" i="4"/>
  <c r="I961" i="4"/>
  <c r="J961" i="4"/>
  <c r="K961" i="4"/>
  <c r="B962" i="4"/>
  <c r="C962" i="4"/>
  <c r="D962" i="4"/>
  <c r="E962" i="4"/>
  <c r="F962" i="4"/>
  <c r="G962" i="4"/>
  <c r="H962" i="4"/>
  <c r="I962" i="4"/>
  <c r="J962" i="4"/>
  <c r="K962" i="4"/>
  <c r="B963" i="4"/>
  <c r="C963" i="4"/>
  <c r="D963" i="4"/>
  <c r="E963" i="4"/>
  <c r="F963" i="4"/>
  <c r="G963" i="4"/>
  <c r="H963" i="4"/>
  <c r="I963" i="4"/>
  <c r="J963" i="4"/>
  <c r="K963" i="4"/>
  <c r="B964" i="4"/>
  <c r="C964" i="4"/>
  <c r="D964" i="4"/>
  <c r="E964" i="4"/>
  <c r="F964" i="4"/>
  <c r="G964" i="4"/>
  <c r="H964" i="4"/>
  <c r="I964" i="4"/>
  <c r="J964" i="4"/>
  <c r="K964" i="4"/>
  <c r="B965" i="4"/>
  <c r="C965" i="4"/>
  <c r="D965" i="4"/>
  <c r="E965" i="4"/>
  <c r="F965" i="4"/>
  <c r="G965" i="4"/>
  <c r="H965" i="4"/>
  <c r="I965" i="4"/>
  <c r="J965" i="4"/>
  <c r="K965" i="4"/>
  <c r="B966" i="4"/>
  <c r="C966" i="4"/>
  <c r="D966" i="4"/>
  <c r="E966" i="4"/>
  <c r="F966" i="4"/>
  <c r="G966" i="4"/>
  <c r="H966" i="4"/>
  <c r="I966" i="4"/>
  <c r="J966" i="4"/>
  <c r="K966" i="4"/>
  <c r="B967" i="4"/>
  <c r="C967" i="4"/>
  <c r="D967" i="4"/>
  <c r="E967" i="4"/>
  <c r="F967" i="4"/>
  <c r="G967" i="4"/>
  <c r="H967" i="4"/>
  <c r="I967" i="4"/>
  <c r="J967" i="4"/>
  <c r="K967" i="4"/>
  <c r="B968" i="4"/>
  <c r="C968" i="4"/>
  <c r="D968" i="4"/>
  <c r="E968" i="4"/>
  <c r="F968" i="4"/>
  <c r="G968" i="4"/>
  <c r="H968" i="4"/>
  <c r="I968" i="4"/>
  <c r="J968" i="4"/>
  <c r="K968" i="4"/>
  <c r="B969" i="4"/>
  <c r="C969" i="4"/>
  <c r="D969" i="4"/>
  <c r="E969" i="4"/>
  <c r="F969" i="4"/>
  <c r="G969" i="4"/>
  <c r="H969" i="4"/>
  <c r="I969" i="4"/>
  <c r="J969" i="4"/>
  <c r="K969" i="4"/>
  <c r="B970" i="4"/>
  <c r="C970" i="4"/>
  <c r="D970" i="4"/>
  <c r="E970" i="4"/>
  <c r="F970" i="4"/>
  <c r="G970" i="4"/>
  <c r="H970" i="4"/>
  <c r="I970" i="4"/>
  <c r="J970" i="4"/>
  <c r="K970" i="4"/>
  <c r="B971" i="4"/>
  <c r="C971" i="4"/>
  <c r="D971" i="4"/>
  <c r="E971" i="4"/>
  <c r="F971" i="4"/>
  <c r="G971" i="4"/>
  <c r="H971" i="4"/>
  <c r="I971" i="4"/>
  <c r="J971" i="4"/>
  <c r="K971" i="4"/>
  <c r="B972" i="4"/>
  <c r="C972" i="4"/>
  <c r="D972" i="4"/>
  <c r="E972" i="4"/>
  <c r="F972" i="4"/>
  <c r="G972" i="4"/>
  <c r="H972" i="4"/>
  <c r="I972" i="4"/>
  <c r="J972" i="4"/>
  <c r="K972" i="4"/>
  <c r="B973" i="4"/>
  <c r="C973" i="4"/>
  <c r="D973" i="4"/>
  <c r="E973" i="4"/>
  <c r="F973" i="4"/>
  <c r="G973" i="4"/>
  <c r="H973" i="4"/>
  <c r="I973" i="4"/>
  <c r="J973" i="4"/>
  <c r="K973" i="4"/>
  <c r="B974" i="4"/>
  <c r="C974" i="4"/>
  <c r="D974" i="4"/>
  <c r="E974" i="4"/>
  <c r="F974" i="4"/>
  <c r="G974" i="4"/>
  <c r="H974" i="4"/>
  <c r="I974" i="4"/>
  <c r="J974" i="4"/>
  <c r="K974" i="4"/>
  <c r="B975" i="4"/>
  <c r="C975" i="4"/>
  <c r="D975" i="4"/>
  <c r="E975" i="4"/>
  <c r="F975" i="4"/>
  <c r="G975" i="4"/>
  <c r="H975" i="4"/>
  <c r="I975" i="4"/>
  <c r="J975" i="4"/>
  <c r="K975" i="4"/>
  <c r="B976" i="4"/>
  <c r="C976" i="4"/>
  <c r="D976" i="4"/>
  <c r="E976" i="4"/>
  <c r="F976" i="4"/>
  <c r="G976" i="4"/>
  <c r="H976" i="4"/>
  <c r="I976" i="4"/>
  <c r="J976" i="4"/>
  <c r="K976" i="4"/>
  <c r="B977" i="4"/>
  <c r="C977" i="4"/>
  <c r="D977" i="4"/>
  <c r="E977" i="4"/>
  <c r="F977" i="4"/>
  <c r="G977" i="4"/>
  <c r="H977" i="4"/>
  <c r="I977" i="4"/>
  <c r="J977" i="4"/>
  <c r="K977" i="4"/>
  <c r="B978" i="4"/>
  <c r="C978" i="4"/>
  <c r="D978" i="4"/>
  <c r="E978" i="4"/>
  <c r="F978" i="4"/>
  <c r="G978" i="4"/>
  <c r="H978" i="4"/>
  <c r="I978" i="4"/>
  <c r="J978" i="4"/>
  <c r="K978" i="4"/>
  <c r="B979" i="4"/>
  <c r="C979" i="4"/>
  <c r="D979" i="4"/>
  <c r="E979" i="4"/>
  <c r="F979" i="4"/>
  <c r="G979" i="4"/>
  <c r="H979" i="4"/>
  <c r="I979" i="4"/>
  <c r="J979" i="4"/>
  <c r="K979" i="4"/>
  <c r="B980" i="4"/>
  <c r="C980" i="4"/>
  <c r="D980" i="4"/>
  <c r="E980" i="4"/>
  <c r="F980" i="4"/>
  <c r="G980" i="4"/>
  <c r="H980" i="4"/>
  <c r="I980" i="4"/>
  <c r="J980" i="4"/>
  <c r="K980" i="4"/>
  <c r="B981" i="4"/>
  <c r="C981" i="4"/>
  <c r="D981" i="4"/>
  <c r="E981" i="4"/>
  <c r="F981" i="4"/>
  <c r="G981" i="4"/>
  <c r="H981" i="4"/>
  <c r="I981" i="4"/>
  <c r="J981" i="4"/>
  <c r="K981" i="4"/>
  <c r="B982" i="4"/>
  <c r="C982" i="4"/>
  <c r="D982" i="4"/>
  <c r="E982" i="4"/>
  <c r="F982" i="4"/>
  <c r="G982" i="4"/>
  <c r="H982" i="4"/>
  <c r="I982" i="4"/>
  <c r="J982" i="4"/>
  <c r="K982" i="4"/>
  <c r="B983" i="4"/>
  <c r="C983" i="4"/>
  <c r="D983" i="4"/>
  <c r="E983" i="4"/>
  <c r="F983" i="4"/>
  <c r="G983" i="4"/>
  <c r="H983" i="4"/>
  <c r="I983" i="4"/>
  <c r="J983" i="4"/>
  <c r="K983" i="4"/>
  <c r="B984" i="4"/>
  <c r="C984" i="4"/>
  <c r="D984" i="4"/>
  <c r="E984" i="4"/>
  <c r="F984" i="4"/>
  <c r="G984" i="4"/>
  <c r="H984" i="4"/>
  <c r="I984" i="4"/>
  <c r="J984" i="4"/>
  <c r="K984" i="4"/>
  <c r="B985" i="4"/>
  <c r="C985" i="4"/>
  <c r="D985" i="4"/>
  <c r="E985" i="4"/>
  <c r="F985" i="4"/>
  <c r="G985" i="4"/>
  <c r="H985" i="4"/>
  <c r="I985" i="4"/>
  <c r="J985" i="4"/>
  <c r="K985" i="4"/>
  <c r="B986" i="4"/>
  <c r="C986" i="4"/>
  <c r="D986" i="4"/>
  <c r="E986" i="4"/>
  <c r="F986" i="4"/>
  <c r="G986" i="4"/>
  <c r="H986" i="4"/>
  <c r="I986" i="4"/>
  <c r="J986" i="4"/>
  <c r="K986" i="4"/>
  <c r="B987" i="4"/>
  <c r="C987" i="4"/>
  <c r="D987" i="4"/>
  <c r="E987" i="4"/>
  <c r="F987" i="4"/>
  <c r="G987" i="4"/>
  <c r="H987" i="4"/>
  <c r="I987" i="4"/>
  <c r="J987" i="4"/>
  <c r="K987" i="4"/>
  <c r="B988" i="4"/>
  <c r="C988" i="4"/>
  <c r="D988" i="4"/>
  <c r="E988" i="4"/>
  <c r="F988" i="4"/>
  <c r="G988" i="4"/>
  <c r="H988" i="4"/>
  <c r="I988" i="4"/>
  <c r="J988" i="4"/>
  <c r="K988" i="4"/>
  <c r="B989" i="4"/>
  <c r="C989" i="4"/>
  <c r="D989" i="4"/>
  <c r="E989" i="4"/>
  <c r="F989" i="4"/>
  <c r="G989" i="4"/>
  <c r="H989" i="4"/>
  <c r="I989" i="4"/>
  <c r="J989" i="4"/>
  <c r="K989" i="4"/>
  <c r="B990" i="4"/>
  <c r="C990" i="4"/>
  <c r="D990" i="4"/>
  <c r="E990" i="4"/>
  <c r="F990" i="4"/>
  <c r="G990" i="4"/>
  <c r="H990" i="4"/>
  <c r="I990" i="4"/>
  <c r="J990" i="4"/>
  <c r="K990" i="4"/>
  <c r="B991" i="4"/>
  <c r="C991" i="4"/>
  <c r="D991" i="4"/>
  <c r="E991" i="4"/>
  <c r="F991" i="4"/>
  <c r="G991" i="4"/>
  <c r="H991" i="4"/>
  <c r="I991" i="4"/>
  <c r="J991" i="4"/>
  <c r="K991" i="4"/>
  <c r="B992" i="4"/>
  <c r="C992" i="4"/>
  <c r="D992" i="4"/>
  <c r="E992" i="4"/>
  <c r="F992" i="4"/>
  <c r="G992" i="4"/>
  <c r="H992" i="4"/>
  <c r="I992" i="4"/>
  <c r="J992" i="4"/>
  <c r="K992" i="4"/>
  <c r="B993" i="4"/>
  <c r="C993" i="4"/>
  <c r="D993" i="4"/>
  <c r="E993" i="4"/>
  <c r="F993" i="4"/>
  <c r="G993" i="4"/>
  <c r="H993" i="4"/>
  <c r="I993" i="4"/>
  <c r="J993" i="4"/>
  <c r="K993" i="4"/>
  <c r="B994" i="4"/>
  <c r="C994" i="4"/>
  <c r="D994" i="4"/>
  <c r="E994" i="4"/>
  <c r="F994" i="4"/>
  <c r="G994" i="4"/>
  <c r="H994" i="4"/>
  <c r="I994" i="4"/>
  <c r="J994" i="4"/>
  <c r="K994" i="4"/>
  <c r="B995" i="4"/>
  <c r="C995" i="4"/>
  <c r="D995" i="4"/>
  <c r="E995" i="4"/>
  <c r="F995" i="4"/>
  <c r="G995" i="4"/>
  <c r="H995" i="4"/>
  <c r="I995" i="4"/>
  <c r="J995" i="4"/>
  <c r="K995" i="4"/>
  <c r="B996" i="4"/>
  <c r="C996" i="4"/>
  <c r="D996" i="4"/>
  <c r="E996" i="4"/>
  <c r="F996" i="4"/>
  <c r="G996" i="4"/>
  <c r="H996" i="4"/>
  <c r="I996" i="4"/>
  <c r="J996" i="4"/>
  <c r="K996" i="4"/>
  <c r="B997" i="4"/>
  <c r="C997" i="4"/>
  <c r="D997" i="4"/>
  <c r="E997" i="4"/>
  <c r="F997" i="4"/>
  <c r="G997" i="4"/>
  <c r="H997" i="4"/>
  <c r="I997" i="4"/>
  <c r="J997" i="4"/>
  <c r="K997" i="4"/>
  <c r="B998" i="4"/>
  <c r="C998" i="4"/>
  <c r="D998" i="4"/>
  <c r="E998" i="4"/>
  <c r="F998" i="4"/>
  <c r="G998" i="4"/>
  <c r="H998" i="4"/>
  <c r="I998" i="4"/>
  <c r="J998" i="4"/>
  <c r="K998" i="4"/>
  <c r="B999" i="4"/>
  <c r="C999" i="4"/>
  <c r="D999" i="4"/>
  <c r="E999" i="4"/>
  <c r="F999" i="4"/>
  <c r="G999" i="4"/>
  <c r="H999" i="4"/>
  <c r="I999" i="4"/>
  <c r="J999" i="4"/>
  <c r="K999" i="4"/>
  <c r="B1000" i="4"/>
  <c r="C1000" i="4"/>
  <c r="D1000" i="4"/>
  <c r="E1000" i="4"/>
  <c r="F1000" i="4"/>
  <c r="G1000" i="4"/>
  <c r="H1000" i="4"/>
  <c r="I1000" i="4"/>
  <c r="J1000" i="4"/>
  <c r="K1000" i="4"/>
  <c r="B1001" i="4"/>
  <c r="C1001" i="4"/>
  <c r="D1001" i="4"/>
  <c r="E1001" i="4"/>
  <c r="F1001" i="4"/>
  <c r="G1001" i="4"/>
  <c r="H1001" i="4"/>
  <c r="I1001" i="4"/>
  <c r="J1001" i="4"/>
  <c r="K1001" i="4"/>
  <c r="B1002" i="4"/>
  <c r="C1002" i="4"/>
  <c r="D1002" i="4"/>
  <c r="E1002" i="4"/>
  <c r="F1002" i="4"/>
  <c r="G1002" i="4"/>
  <c r="H1002" i="4"/>
  <c r="I1002" i="4"/>
  <c r="J1002" i="4"/>
  <c r="K1002" i="4"/>
  <c r="B1003" i="4"/>
  <c r="C1003" i="4"/>
  <c r="D1003" i="4"/>
  <c r="E1003" i="4"/>
  <c r="F1003" i="4"/>
  <c r="G1003" i="4"/>
  <c r="H1003" i="4"/>
  <c r="I1003" i="4"/>
  <c r="J1003" i="4"/>
  <c r="K1003" i="4"/>
  <c r="B1004" i="4"/>
  <c r="C1004" i="4"/>
  <c r="D1004" i="4"/>
  <c r="E1004" i="4"/>
  <c r="F1004" i="4"/>
  <c r="G1004" i="4"/>
  <c r="H1004" i="4"/>
  <c r="I1004" i="4"/>
  <c r="J1004" i="4"/>
  <c r="K1004" i="4"/>
  <c r="B1005" i="4"/>
  <c r="C1005" i="4"/>
  <c r="D1005" i="4"/>
  <c r="E1005" i="4"/>
  <c r="F1005" i="4"/>
  <c r="G1005" i="4"/>
  <c r="H1005" i="4"/>
  <c r="I1005" i="4"/>
  <c r="J1005" i="4"/>
  <c r="K1005" i="4"/>
  <c r="B1006" i="4"/>
  <c r="C1006" i="4"/>
  <c r="D1006" i="4"/>
  <c r="E1006" i="4"/>
  <c r="F1006" i="4"/>
  <c r="G1006" i="4"/>
  <c r="H1006" i="4"/>
  <c r="I1006" i="4"/>
  <c r="J1006" i="4"/>
  <c r="K1006" i="4"/>
  <c r="B1007" i="4"/>
  <c r="C1007" i="4"/>
  <c r="D1007" i="4"/>
  <c r="E1007" i="4"/>
  <c r="F1007" i="4"/>
  <c r="G1007" i="4"/>
  <c r="H1007" i="4"/>
  <c r="I1007" i="4"/>
  <c r="J1007" i="4"/>
  <c r="K1007" i="4"/>
  <c r="B1008" i="4"/>
  <c r="C1008" i="4"/>
  <c r="D1008" i="4"/>
  <c r="E1008" i="4"/>
  <c r="F1008" i="4"/>
  <c r="G1008" i="4"/>
  <c r="H1008" i="4"/>
  <c r="I1008" i="4"/>
  <c r="J1008" i="4"/>
  <c r="K1008" i="4"/>
  <c r="B1009" i="4"/>
  <c r="C1009" i="4"/>
  <c r="D1009" i="4"/>
  <c r="E1009" i="4"/>
  <c r="F1009" i="4"/>
  <c r="G1009" i="4"/>
  <c r="H1009" i="4"/>
  <c r="I1009" i="4"/>
  <c r="J1009" i="4"/>
  <c r="K1009" i="4"/>
  <c r="B1010" i="4"/>
  <c r="C1010" i="4"/>
  <c r="D1010" i="4"/>
  <c r="E1010" i="4"/>
  <c r="F1010" i="4"/>
  <c r="G1010" i="4"/>
  <c r="H1010" i="4"/>
  <c r="I1010" i="4"/>
  <c r="J1010" i="4"/>
  <c r="K1010" i="4"/>
  <c r="B1011" i="4"/>
  <c r="C1011" i="4"/>
  <c r="D1011" i="4"/>
  <c r="E1011" i="4"/>
  <c r="F1011" i="4"/>
  <c r="G1011" i="4"/>
  <c r="H1011" i="4"/>
  <c r="I1011" i="4"/>
  <c r="J1011" i="4"/>
  <c r="K1011" i="4"/>
  <c r="B1012" i="4"/>
  <c r="C1012" i="4"/>
  <c r="D1012" i="4"/>
  <c r="E1012" i="4"/>
  <c r="F1012" i="4"/>
  <c r="G1012" i="4"/>
  <c r="H1012" i="4"/>
  <c r="I1012" i="4"/>
  <c r="J1012" i="4"/>
  <c r="K1012" i="4"/>
  <c r="B1013" i="4"/>
  <c r="C1013" i="4"/>
  <c r="D1013" i="4"/>
  <c r="E1013" i="4"/>
  <c r="F1013" i="4"/>
  <c r="G1013" i="4"/>
  <c r="H1013" i="4"/>
  <c r="I1013" i="4"/>
  <c r="J1013" i="4"/>
  <c r="K1013" i="4"/>
  <c r="B1014" i="4"/>
  <c r="C1014" i="4"/>
  <c r="D1014" i="4"/>
  <c r="E1014" i="4"/>
  <c r="F1014" i="4"/>
  <c r="G1014" i="4"/>
  <c r="H1014" i="4"/>
  <c r="I1014" i="4"/>
  <c r="J1014" i="4"/>
  <c r="K1014" i="4"/>
  <c r="B1015" i="4"/>
  <c r="C1015" i="4"/>
  <c r="D1015" i="4"/>
  <c r="E1015" i="4"/>
  <c r="F1015" i="4"/>
  <c r="G1015" i="4"/>
  <c r="H1015" i="4"/>
  <c r="I1015" i="4"/>
  <c r="J1015" i="4"/>
  <c r="K1015" i="4"/>
  <c r="B1016" i="4"/>
  <c r="C1016" i="4"/>
  <c r="D1016" i="4"/>
  <c r="E1016" i="4"/>
  <c r="F1016" i="4"/>
  <c r="G1016" i="4"/>
  <c r="H1016" i="4"/>
  <c r="I1016" i="4"/>
  <c r="J1016" i="4"/>
  <c r="K1016" i="4"/>
  <c r="B1017" i="4"/>
  <c r="C1017" i="4"/>
  <c r="D1017" i="4"/>
  <c r="E1017" i="4"/>
  <c r="F1017" i="4"/>
  <c r="G1017" i="4"/>
  <c r="H1017" i="4"/>
  <c r="I1017" i="4"/>
  <c r="J1017" i="4"/>
  <c r="K1017" i="4"/>
  <c r="B1018" i="4"/>
  <c r="C1018" i="4"/>
  <c r="D1018" i="4"/>
  <c r="E1018" i="4"/>
  <c r="F1018" i="4"/>
  <c r="G1018" i="4"/>
  <c r="H1018" i="4"/>
  <c r="I1018" i="4"/>
  <c r="J1018" i="4"/>
  <c r="K1018" i="4"/>
  <c r="B1019" i="4"/>
  <c r="C1019" i="4"/>
  <c r="D1019" i="4"/>
  <c r="E1019" i="4"/>
  <c r="F1019" i="4"/>
  <c r="G1019" i="4"/>
  <c r="H1019" i="4"/>
  <c r="I1019" i="4"/>
  <c r="J1019" i="4"/>
  <c r="K1019" i="4"/>
  <c r="B1020" i="4"/>
  <c r="C1020" i="4"/>
  <c r="D1020" i="4"/>
  <c r="E1020" i="4"/>
  <c r="F1020" i="4"/>
  <c r="G1020" i="4"/>
  <c r="H1020" i="4"/>
  <c r="I1020" i="4"/>
  <c r="J1020" i="4"/>
  <c r="K1020" i="4"/>
  <c r="B1021" i="4"/>
  <c r="C1021" i="4"/>
  <c r="D1021" i="4"/>
  <c r="E1021" i="4"/>
  <c r="F1021" i="4"/>
  <c r="G1021" i="4"/>
  <c r="H1021" i="4"/>
  <c r="I1021" i="4"/>
  <c r="J1021" i="4"/>
  <c r="K1021" i="4"/>
  <c r="B1022" i="4"/>
  <c r="C1022" i="4"/>
  <c r="D1022" i="4"/>
  <c r="E1022" i="4"/>
  <c r="F1022" i="4"/>
  <c r="G1022" i="4"/>
  <c r="H1022" i="4"/>
  <c r="I1022" i="4"/>
  <c r="J1022" i="4"/>
  <c r="K1022" i="4"/>
  <c r="B1023" i="4"/>
  <c r="C1023" i="4"/>
  <c r="D1023" i="4"/>
  <c r="E1023" i="4"/>
  <c r="F1023" i="4"/>
  <c r="G1023" i="4"/>
  <c r="H1023" i="4"/>
  <c r="I1023" i="4"/>
  <c r="J1023" i="4"/>
  <c r="K1023" i="4"/>
  <c r="B1024" i="4"/>
  <c r="C1024" i="4"/>
  <c r="D1024" i="4"/>
  <c r="E1024" i="4"/>
  <c r="F1024" i="4"/>
  <c r="G1024" i="4"/>
  <c r="H1024" i="4"/>
  <c r="I1024" i="4"/>
  <c r="J1024" i="4"/>
  <c r="K1024" i="4"/>
  <c r="B1025" i="4"/>
  <c r="C1025" i="4"/>
  <c r="D1025" i="4"/>
  <c r="E1025" i="4"/>
  <c r="F1025" i="4"/>
  <c r="G1025" i="4"/>
  <c r="H1025" i="4"/>
  <c r="I1025" i="4"/>
  <c r="J1025" i="4"/>
  <c r="K1025" i="4"/>
  <c r="B1026" i="4"/>
  <c r="C1026" i="4"/>
  <c r="D1026" i="4"/>
  <c r="E1026" i="4"/>
  <c r="F1026" i="4"/>
  <c r="G1026" i="4"/>
  <c r="H1026" i="4"/>
  <c r="I1026" i="4"/>
  <c r="J1026" i="4"/>
  <c r="K1026" i="4"/>
  <c r="B1027" i="4"/>
  <c r="C1027" i="4"/>
  <c r="D1027" i="4"/>
  <c r="E1027" i="4"/>
  <c r="F1027" i="4"/>
  <c r="G1027" i="4"/>
  <c r="H1027" i="4"/>
  <c r="I1027" i="4"/>
  <c r="J1027" i="4"/>
  <c r="K1027" i="4"/>
  <c r="B1028" i="4"/>
  <c r="C1028" i="4"/>
  <c r="D1028" i="4"/>
  <c r="E1028" i="4"/>
  <c r="F1028" i="4"/>
  <c r="G1028" i="4"/>
  <c r="H1028" i="4"/>
  <c r="I1028" i="4"/>
  <c r="J1028" i="4"/>
  <c r="K1028" i="4"/>
  <c r="B1029" i="4"/>
  <c r="C1029" i="4"/>
  <c r="D1029" i="4"/>
  <c r="E1029" i="4"/>
  <c r="F1029" i="4"/>
  <c r="G1029" i="4"/>
  <c r="H1029" i="4"/>
  <c r="I1029" i="4"/>
  <c r="J1029" i="4"/>
  <c r="K1029" i="4"/>
  <c r="B1030" i="4"/>
  <c r="C1030" i="4"/>
  <c r="D1030" i="4"/>
  <c r="E1030" i="4"/>
  <c r="F1030" i="4"/>
  <c r="G1030" i="4"/>
  <c r="H1030" i="4"/>
  <c r="I1030" i="4"/>
  <c r="J1030" i="4"/>
  <c r="K1030" i="4"/>
  <c r="B1031" i="4"/>
  <c r="C1031" i="4"/>
  <c r="D1031" i="4"/>
  <c r="E1031" i="4"/>
  <c r="F1031" i="4"/>
  <c r="G1031" i="4"/>
  <c r="H1031" i="4"/>
  <c r="I1031" i="4"/>
  <c r="J1031" i="4"/>
  <c r="K1031" i="4"/>
  <c r="B1032" i="4"/>
  <c r="C1032" i="4"/>
  <c r="D1032" i="4"/>
  <c r="E1032" i="4"/>
  <c r="F1032" i="4"/>
  <c r="G1032" i="4"/>
  <c r="H1032" i="4"/>
  <c r="I1032" i="4"/>
  <c r="J1032" i="4"/>
  <c r="K1032" i="4"/>
  <c r="B1033" i="4"/>
  <c r="C1033" i="4"/>
  <c r="D1033" i="4"/>
  <c r="E1033" i="4"/>
  <c r="F1033" i="4"/>
  <c r="G1033" i="4"/>
  <c r="H1033" i="4"/>
  <c r="I1033" i="4"/>
  <c r="J1033" i="4"/>
  <c r="K1033" i="4"/>
  <c r="B1034" i="4"/>
  <c r="C1034" i="4"/>
  <c r="D1034" i="4"/>
  <c r="E1034" i="4"/>
  <c r="F1034" i="4"/>
  <c r="G1034" i="4"/>
  <c r="H1034" i="4"/>
  <c r="I1034" i="4"/>
  <c r="J1034" i="4"/>
  <c r="K1034" i="4"/>
  <c r="B1035" i="4"/>
  <c r="C1035" i="4"/>
  <c r="D1035" i="4"/>
  <c r="E1035" i="4"/>
  <c r="F1035" i="4"/>
  <c r="G1035" i="4"/>
  <c r="H1035" i="4"/>
  <c r="I1035" i="4"/>
  <c r="J1035" i="4"/>
  <c r="K1035" i="4"/>
  <c r="B1036" i="4"/>
  <c r="C1036" i="4"/>
  <c r="D1036" i="4"/>
  <c r="E1036" i="4"/>
  <c r="F1036" i="4"/>
  <c r="G1036" i="4"/>
  <c r="H1036" i="4"/>
  <c r="I1036" i="4"/>
  <c r="J1036" i="4"/>
  <c r="K1036" i="4"/>
  <c r="B1037" i="4"/>
  <c r="C1037" i="4"/>
  <c r="D1037" i="4"/>
  <c r="E1037" i="4"/>
  <c r="F1037" i="4"/>
  <c r="G1037" i="4"/>
  <c r="H1037" i="4"/>
  <c r="I1037" i="4"/>
  <c r="J1037" i="4"/>
  <c r="K1037" i="4"/>
  <c r="B1038" i="4"/>
  <c r="C1038" i="4"/>
  <c r="D1038" i="4"/>
  <c r="E1038" i="4"/>
  <c r="F1038" i="4"/>
  <c r="G1038" i="4"/>
  <c r="H1038" i="4"/>
  <c r="I1038" i="4"/>
  <c r="J1038" i="4"/>
  <c r="K1038" i="4"/>
  <c r="B1039" i="4"/>
  <c r="C1039" i="4"/>
  <c r="D1039" i="4"/>
  <c r="E1039" i="4"/>
  <c r="F1039" i="4"/>
  <c r="G1039" i="4"/>
  <c r="H1039" i="4"/>
  <c r="I1039" i="4"/>
  <c r="J1039" i="4"/>
  <c r="K1039" i="4"/>
  <c r="B1040" i="4"/>
  <c r="C1040" i="4"/>
  <c r="D1040" i="4"/>
  <c r="E1040" i="4"/>
  <c r="F1040" i="4"/>
  <c r="G1040" i="4"/>
  <c r="H1040" i="4"/>
  <c r="I1040" i="4"/>
  <c r="J1040" i="4"/>
  <c r="K1040" i="4"/>
  <c r="B1041" i="4"/>
  <c r="C1041" i="4"/>
  <c r="D1041" i="4"/>
  <c r="E1041" i="4"/>
  <c r="F1041" i="4"/>
  <c r="G1041" i="4"/>
  <c r="H1041" i="4"/>
  <c r="I1041" i="4"/>
  <c r="J1041" i="4"/>
  <c r="K1041" i="4"/>
  <c r="B1042" i="4"/>
  <c r="C1042" i="4"/>
  <c r="D1042" i="4"/>
  <c r="E1042" i="4"/>
  <c r="F1042" i="4"/>
  <c r="G1042" i="4"/>
  <c r="H1042" i="4"/>
  <c r="I1042" i="4"/>
  <c r="J1042" i="4"/>
  <c r="K1042" i="4"/>
  <c r="B1043" i="4"/>
  <c r="C1043" i="4"/>
  <c r="D1043" i="4"/>
  <c r="E1043" i="4"/>
  <c r="F1043" i="4"/>
  <c r="G1043" i="4"/>
  <c r="H1043" i="4"/>
  <c r="I1043" i="4"/>
  <c r="J1043" i="4"/>
  <c r="K1043" i="4"/>
  <c r="B1044" i="4"/>
  <c r="C1044" i="4"/>
  <c r="D1044" i="4"/>
  <c r="E1044" i="4"/>
  <c r="F1044" i="4"/>
  <c r="G1044" i="4"/>
  <c r="H1044" i="4"/>
  <c r="I1044" i="4"/>
  <c r="J1044" i="4"/>
  <c r="K1044" i="4"/>
  <c r="B1045" i="4"/>
  <c r="C1045" i="4"/>
  <c r="D1045" i="4"/>
  <c r="E1045" i="4"/>
  <c r="F1045" i="4"/>
  <c r="G1045" i="4"/>
  <c r="H1045" i="4"/>
  <c r="I1045" i="4"/>
  <c r="J1045" i="4"/>
  <c r="K1045" i="4"/>
  <c r="B1046" i="4"/>
  <c r="C1046" i="4"/>
  <c r="D1046" i="4"/>
  <c r="E1046" i="4"/>
  <c r="F1046" i="4"/>
  <c r="G1046" i="4"/>
  <c r="H1046" i="4"/>
  <c r="I1046" i="4"/>
  <c r="J1046" i="4"/>
  <c r="K1046" i="4"/>
  <c r="B1047" i="4"/>
  <c r="C1047" i="4"/>
  <c r="D1047" i="4"/>
  <c r="E1047" i="4"/>
  <c r="F1047" i="4"/>
  <c r="G1047" i="4"/>
  <c r="H1047" i="4"/>
  <c r="I1047" i="4"/>
  <c r="J1047" i="4"/>
  <c r="K1047" i="4"/>
  <c r="B1048" i="4"/>
  <c r="C1048" i="4"/>
  <c r="D1048" i="4"/>
  <c r="E1048" i="4"/>
  <c r="F1048" i="4"/>
  <c r="G1048" i="4"/>
  <c r="H1048" i="4"/>
  <c r="I1048" i="4"/>
  <c r="J1048" i="4"/>
  <c r="K1048" i="4"/>
  <c r="B1114" i="4"/>
  <c r="C13" i="3"/>
  <c r="E13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B135" i="3"/>
  <c r="C135" i="3"/>
  <c r="D135" i="3"/>
  <c r="E135" i="3"/>
  <c r="B136" i="3"/>
  <c r="C136" i="3"/>
  <c r="D136" i="3"/>
  <c r="E136" i="3"/>
  <c r="B137" i="3"/>
  <c r="C137" i="3"/>
  <c r="D137" i="3"/>
  <c r="E137" i="3"/>
  <c r="B138" i="3"/>
  <c r="C138" i="3"/>
  <c r="D138" i="3"/>
  <c r="E138" i="3"/>
  <c r="B139" i="3"/>
  <c r="C139" i="3"/>
  <c r="D139" i="3"/>
  <c r="E139" i="3"/>
  <c r="B140" i="3"/>
  <c r="C140" i="3"/>
  <c r="D140" i="3"/>
  <c r="E140" i="3"/>
  <c r="B141" i="3"/>
  <c r="C141" i="3"/>
  <c r="D141" i="3"/>
  <c r="E141" i="3"/>
  <c r="B142" i="3"/>
  <c r="C142" i="3"/>
  <c r="D142" i="3"/>
  <c r="E142" i="3"/>
  <c r="B143" i="3"/>
  <c r="C143" i="3"/>
  <c r="D143" i="3"/>
  <c r="E143" i="3"/>
  <c r="B144" i="3"/>
  <c r="C144" i="3"/>
  <c r="D144" i="3"/>
  <c r="E144" i="3"/>
  <c r="B145" i="3"/>
  <c r="C145" i="3"/>
  <c r="D145" i="3"/>
  <c r="E145" i="3"/>
  <c r="B146" i="3"/>
  <c r="C146" i="3"/>
  <c r="D146" i="3"/>
  <c r="E146" i="3"/>
  <c r="B147" i="3"/>
  <c r="C147" i="3"/>
  <c r="D147" i="3"/>
  <c r="E147" i="3"/>
  <c r="B148" i="3"/>
  <c r="C148" i="3"/>
  <c r="D148" i="3"/>
  <c r="E148" i="3"/>
  <c r="B149" i="3"/>
  <c r="C149" i="3"/>
  <c r="D149" i="3"/>
  <c r="E149" i="3"/>
  <c r="B150" i="3"/>
  <c r="C150" i="3"/>
  <c r="D150" i="3"/>
  <c r="E150" i="3"/>
  <c r="B151" i="3"/>
  <c r="C151" i="3"/>
  <c r="D151" i="3"/>
  <c r="E151" i="3"/>
  <c r="B152" i="3"/>
  <c r="C152" i="3"/>
  <c r="D152" i="3"/>
  <c r="E152" i="3"/>
  <c r="B153" i="3"/>
  <c r="C153" i="3"/>
  <c r="D153" i="3"/>
  <c r="E153" i="3"/>
  <c r="B154" i="3"/>
  <c r="C154" i="3"/>
  <c r="D154" i="3"/>
  <c r="E154" i="3"/>
  <c r="B155" i="3"/>
  <c r="C155" i="3"/>
  <c r="D155" i="3"/>
  <c r="E155" i="3"/>
  <c r="B156" i="3"/>
  <c r="C156" i="3"/>
  <c r="D156" i="3"/>
  <c r="E156" i="3"/>
  <c r="B157" i="3"/>
  <c r="C157" i="3"/>
  <c r="D157" i="3"/>
  <c r="E157" i="3"/>
  <c r="B158" i="3"/>
  <c r="C158" i="3"/>
  <c r="D158" i="3"/>
  <c r="E158" i="3"/>
  <c r="B159" i="3"/>
  <c r="C159" i="3"/>
  <c r="D159" i="3"/>
  <c r="E159" i="3"/>
  <c r="B160" i="3"/>
  <c r="C160" i="3"/>
  <c r="D160" i="3"/>
  <c r="E160" i="3"/>
  <c r="B161" i="3"/>
  <c r="C161" i="3"/>
  <c r="D161" i="3"/>
  <c r="E161" i="3"/>
  <c r="B162" i="3"/>
  <c r="C162" i="3"/>
  <c r="D162" i="3"/>
  <c r="E162" i="3"/>
  <c r="B163" i="3"/>
  <c r="C163" i="3"/>
  <c r="D163" i="3"/>
  <c r="E163" i="3"/>
  <c r="B164" i="3"/>
  <c r="C164" i="3"/>
  <c r="D164" i="3"/>
  <c r="E164" i="3"/>
  <c r="B165" i="3"/>
  <c r="C165" i="3"/>
  <c r="D165" i="3"/>
  <c r="E165" i="3"/>
  <c r="B166" i="3"/>
  <c r="C166" i="3"/>
  <c r="D166" i="3"/>
  <c r="E166" i="3"/>
  <c r="B167" i="3"/>
  <c r="C167" i="3"/>
  <c r="D167" i="3"/>
  <c r="E167" i="3"/>
  <c r="B168" i="3"/>
  <c r="C168" i="3"/>
  <c r="D168" i="3"/>
  <c r="E168" i="3"/>
  <c r="B169" i="3"/>
  <c r="C169" i="3"/>
  <c r="D169" i="3"/>
  <c r="E169" i="3"/>
  <c r="B170" i="3"/>
  <c r="C170" i="3"/>
  <c r="D170" i="3"/>
  <c r="E170" i="3"/>
  <c r="B171" i="3"/>
  <c r="C171" i="3"/>
  <c r="D171" i="3"/>
  <c r="E171" i="3"/>
  <c r="B172" i="3"/>
  <c r="C172" i="3"/>
  <c r="D172" i="3"/>
  <c r="E172" i="3"/>
  <c r="B173" i="3"/>
  <c r="C173" i="3"/>
  <c r="D173" i="3"/>
  <c r="E173" i="3"/>
  <c r="B174" i="3"/>
  <c r="C174" i="3"/>
  <c r="D174" i="3"/>
  <c r="E174" i="3"/>
  <c r="B175" i="3"/>
  <c r="C175" i="3"/>
  <c r="D175" i="3"/>
  <c r="E175" i="3"/>
  <c r="B176" i="3"/>
  <c r="C176" i="3"/>
  <c r="D176" i="3"/>
  <c r="E176" i="3"/>
  <c r="B177" i="3"/>
  <c r="C177" i="3"/>
  <c r="D177" i="3"/>
  <c r="E177" i="3"/>
  <c r="B178" i="3"/>
  <c r="C178" i="3"/>
  <c r="D178" i="3"/>
  <c r="E178" i="3"/>
  <c r="B179" i="3"/>
  <c r="C179" i="3"/>
  <c r="D179" i="3"/>
  <c r="E179" i="3"/>
  <c r="B180" i="3"/>
  <c r="C180" i="3"/>
  <c r="D180" i="3"/>
  <c r="E180" i="3"/>
  <c r="B181" i="3"/>
  <c r="C181" i="3"/>
  <c r="D181" i="3"/>
  <c r="E181" i="3"/>
  <c r="B182" i="3"/>
  <c r="C182" i="3"/>
  <c r="D182" i="3"/>
  <c r="E182" i="3"/>
  <c r="B183" i="3"/>
  <c r="C183" i="3"/>
  <c r="D183" i="3"/>
  <c r="E183" i="3"/>
  <c r="B184" i="3"/>
  <c r="C184" i="3"/>
  <c r="D184" i="3"/>
  <c r="E184" i="3"/>
  <c r="B185" i="3"/>
  <c r="C185" i="3"/>
  <c r="D185" i="3"/>
  <c r="E185" i="3"/>
  <c r="B186" i="3"/>
  <c r="C186" i="3"/>
  <c r="D186" i="3"/>
  <c r="E186" i="3"/>
  <c r="B187" i="3"/>
  <c r="C187" i="3"/>
  <c r="D187" i="3"/>
  <c r="E187" i="3"/>
  <c r="B188" i="3"/>
  <c r="C188" i="3"/>
  <c r="D188" i="3"/>
  <c r="E188" i="3"/>
  <c r="B189" i="3"/>
  <c r="C189" i="3"/>
  <c r="D189" i="3"/>
  <c r="E189" i="3"/>
  <c r="B190" i="3"/>
  <c r="C190" i="3"/>
  <c r="D190" i="3"/>
  <c r="E190" i="3"/>
  <c r="B191" i="3"/>
  <c r="C191" i="3"/>
  <c r="D191" i="3"/>
  <c r="E191" i="3"/>
  <c r="B192" i="3"/>
  <c r="C192" i="3"/>
  <c r="D192" i="3"/>
  <c r="E192" i="3"/>
  <c r="B193" i="3"/>
  <c r="C193" i="3"/>
  <c r="D193" i="3"/>
  <c r="E193" i="3"/>
  <c r="B194" i="3"/>
  <c r="C194" i="3"/>
  <c r="D194" i="3"/>
  <c r="E194" i="3"/>
  <c r="B195" i="3"/>
  <c r="C195" i="3"/>
  <c r="D195" i="3"/>
  <c r="E195" i="3"/>
  <c r="B196" i="3"/>
  <c r="C196" i="3"/>
  <c r="D196" i="3"/>
  <c r="E196" i="3"/>
  <c r="B197" i="3"/>
  <c r="C197" i="3"/>
  <c r="D197" i="3"/>
  <c r="E197" i="3"/>
  <c r="B198" i="3"/>
  <c r="C198" i="3"/>
  <c r="D198" i="3"/>
  <c r="E198" i="3"/>
  <c r="B199" i="3"/>
  <c r="C199" i="3"/>
  <c r="D199" i="3"/>
  <c r="E199" i="3"/>
  <c r="B200" i="3"/>
  <c r="C200" i="3"/>
  <c r="D200" i="3"/>
  <c r="E200" i="3"/>
  <c r="B201" i="3"/>
  <c r="C201" i="3"/>
  <c r="D201" i="3"/>
  <c r="E201" i="3"/>
  <c r="B202" i="3"/>
  <c r="C202" i="3"/>
  <c r="D202" i="3"/>
  <c r="E202" i="3"/>
  <c r="B203" i="3"/>
  <c r="C203" i="3"/>
  <c r="D203" i="3"/>
  <c r="E203" i="3"/>
  <c r="B204" i="3"/>
  <c r="C204" i="3"/>
  <c r="D204" i="3"/>
  <c r="E204" i="3"/>
  <c r="B205" i="3"/>
  <c r="C205" i="3"/>
  <c r="D205" i="3"/>
  <c r="E205" i="3"/>
  <c r="B206" i="3"/>
  <c r="C206" i="3"/>
  <c r="D206" i="3"/>
  <c r="E206" i="3"/>
  <c r="B207" i="3"/>
  <c r="C207" i="3"/>
  <c r="D207" i="3"/>
  <c r="E207" i="3"/>
  <c r="B208" i="3"/>
  <c r="C208" i="3"/>
  <c r="D208" i="3"/>
  <c r="E208" i="3"/>
  <c r="B209" i="3"/>
  <c r="C209" i="3"/>
  <c r="D209" i="3"/>
  <c r="E209" i="3"/>
  <c r="B210" i="3"/>
  <c r="C210" i="3"/>
  <c r="D210" i="3"/>
  <c r="E210" i="3"/>
  <c r="B211" i="3"/>
  <c r="C211" i="3"/>
  <c r="D211" i="3"/>
  <c r="E211" i="3"/>
  <c r="B212" i="3"/>
  <c r="C212" i="3"/>
  <c r="D212" i="3"/>
  <c r="E212" i="3"/>
  <c r="B213" i="3"/>
  <c r="C213" i="3"/>
  <c r="D213" i="3"/>
  <c r="E213" i="3"/>
  <c r="B214" i="3"/>
  <c r="C214" i="3"/>
  <c r="D214" i="3"/>
  <c r="E214" i="3"/>
  <c r="B215" i="3"/>
  <c r="C215" i="3"/>
  <c r="D215" i="3"/>
  <c r="E215" i="3"/>
  <c r="B216" i="3"/>
  <c r="C216" i="3"/>
  <c r="D216" i="3"/>
  <c r="E216" i="3"/>
  <c r="B217" i="3"/>
  <c r="C217" i="3"/>
  <c r="D217" i="3"/>
  <c r="E217" i="3"/>
  <c r="B218" i="3"/>
  <c r="C218" i="3"/>
  <c r="D218" i="3"/>
  <c r="E218" i="3"/>
  <c r="B219" i="3"/>
  <c r="C219" i="3"/>
  <c r="D219" i="3"/>
  <c r="E219" i="3"/>
  <c r="B220" i="3"/>
  <c r="C220" i="3"/>
  <c r="D220" i="3"/>
  <c r="E220" i="3"/>
  <c r="B221" i="3"/>
  <c r="C221" i="3"/>
  <c r="D221" i="3"/>
  <c r="E221" i="3"/>
  <c r="B222" i="3"/>
  <c r="C222" i="3"/>
  <c r="D222" i="3"/>
  <c r="E222" i="3"/>
  <c r="B223" i="3"/>
  <c r="C223" i="3"/>
  <c r="D223" i="3"/>
  <c r="E223" i="3"/>
  <c r="B224" i="3"/>
  <c r="C224" i="3"/>
  <c r="D224" i="3"/>
  <c r="E224" i="3"/>
  <c r="B225" i="3"/>
  <c r="C225" i="3"/>
  <c r="D225" i="3"/>
  <c r="E225" i="3"/>
  <c r="B226" i="3"/>
  <c r="C226" i="3"/>
  <c r="D226" i="3"/>
  <c r="E226" i="3"/>
  <c r="B227" i="3"/>
  <c r="C227" i="3"/>
  <c r="D227" i="3"/>
  <c r="E227" i="3"/>
  <c r="B228" i="3"/>
  <c r="C228" i="3"/>
  <c r="D228" i="3"/>
  <c r="E228" i="3"/>
  <c r="B229" i="3"/>
  <c r="C229" i="3"/>
  <c r="D229" i="3"/>
  <c r="E229" i="3"/>
  <c r="B230" i="3"/>
  <c r="C230" i="3"/>
  <c r="D230" i="3"/>
  <c r="E230" i="3"/>
  <c r="B231" i="3"/>
  <c r="C231" i="3"/>
  <c r="D231" i="3"/>
  <c r="E231" i="3"/>
  <c r="B232" i="3"/>
  <c r="C232" i="3"/>
  <c r="D232" i="3"/>
  <c r="E232" i="3"/>
  <c r="B233" i="3"/>
  <c r="C233" i="3"/>
  <c r="D233" i="3"/>
  <c r="E233" i="3"/>
  <c r="B234" i="3"/>
  <c r="C234" i="3"/>
  <c r="D234" i="3"/>
  <c r="E234" i="3"/>
  <c r="B235" i="3"/>
  <c r="C235" i="3"/>
  <c r="D235" i="3"/>
  <c r="E235" i="3"/>
  <c r="B236" i="3"/>
  <c r="C236" i="3"/>
  <c r="D236" i="3"/>
  <c r="E236" i="3"/>
  <c r="B237" i="3"/>
  <c r="C237" i="3"/>
  <c r="D237" i="3"/>
  <c r="E237" i="3"/>
  <c r="B238" i="3"/>
  <c r="C238" i="3"/>
  <c r="D238" i="3"/>
  <c r="E238" i="3"/>
  <c r="B239" i="3"/>
  <c r="C239" i="3"/>
  <c r="D239" i="3"/>
  <c r="E239" i="3"/>
  <c r="B240" i="3"/>
  <c r="C240" i="3"/>
  <c r="D240" i="3"/>
  <c r="E240" i="3"/>
  <c r="B241" i="3"/>
  <c r="C241" i="3"/>
  <c r="D241" i="3"/>
  <c r="E241" i="3"/>
  <c r="B242" i="3"/>
  <c r="C242" i="3"/>
  <c r="D242" i="3"/>
  <c r="E242" i="3"/>
  <c r="B243" i="3"/>
  <c r="C243" i="3"/>
  <c r="D243" i="3"/>
  <c r="E243" i="3"/>
  <c r="B244" i="3"/>
  <c r="C244" i="3"/>
  <c r="D244" i="3"/>
  <c r="E244" i="3"/>
  <c r="B245" i="3"/>
  <c r="C245" i="3"/>
  <c r="D245" i="3"/>
  <c r="E245" i="3"/>
  <c r="B246" i="3"/>
  <c r="C246" i="3"/>
  <c r="D246" i="3"/>
  <c r="E246" i="3"/>
  <c r="B247" i="3"/>
  <c r="C247" i="3"/>
  <c r="D247" i="3"/>
  <c r="E247" i="3"/>
  <c r="B248" i="3"/>
  <c r="C248" i="3"/>
  <c r="D248" i="3"/>
  <c r="E248" i="3"/>
  <c r="B249" i="3"/>
  <c r="C249" i="3"/>
  <c r="D249" i="3"/>
  <c r="E249" i="3"/>
  <c r="B250" i="3"/>
  <c r="C250" i="3"/>
  <c r="D250" i="3"/>
  <c r="E250" i="3"/>
  <c r="B251" i="3"/>
  <c r="C251" i="3"/>
  <c r="D251" i="3"/>
  <c r="E251" i="3"/>
  <c r="B252" i="3"/>
  <c r="C252" i="3"/>
  <c r="D252" i="3"/>
  <c r="E252" i="3"/>
  <c r="B253" i="3"/>
  <c r="C253" i="3"/>
  <c r="D253" i="3"/>
  <c r="E253" i="3"/>
  <c r="B254" i="3"/>
  <c r="C254" i="3"/>
  <c r="D254" i="3"/>
  <c r="E254" i="3"/>
  <c r="B255" i="3"/>
  <c r="C255" i="3"/>
  <c r="D255" i="3"/>
  <c r="E255" i="3"/>
  <c r="B256" i="3"/>
  <c r="C256" i="3"/>
  <c r="D256" i="3"/>
  <c r="E256" i="3"/>
  <c r="B257" i="3"/>
  <c r="C257" i="3"/>
  <c r="D257" i="3"/>
  <c r="E257" i="3"/>
  <c r="B258" i="3"/>
  <c r="C258" i="3"/>
  <c r="D258" i="3"/>
  <c r="E258" i="3"/>
  <c r="B259" i="3"/>
  <c r="C259" i="3"/>
  <c r="D259" i="3"/>
  <c r="E259" i="3"/>
  <c r="B260" i="3"/>
  <c r="C260" i="3"/>
  <c r="D260" i="3"/>
  <c r="E260" i="3"/>
  <c r="B261" i="3"/>
  <c r="C261" i="3"/>
  <c r="D261" i="3"/>
  <c r="E261" i="3"/>
  <c r="B262" i="3"/>
  <c r="C262" i="3"/>
  <c r="D262" i="3"/>
  <c r="E262" i="3"/>
  <c r="B263" i="3"/>
  <c r="C263" i="3"/>
  <c r="D263" i="3"/>
  <c r="E263" i="3"/>
  <c r="B264" i="3"/>
  <c r="C264" i="3"/>
  <c r="D264" i="3"/>
  <c r="E264" i="3"/>
  <c r="B265" i="3"/>
  <c r="C265" i="3"/>
  <c r="D265" i="3"/>
  <c r="E265" i="3"/>
  <c r="B266" i="3"/>
  <c r="C266" i="3"/>
  <c r="D266" i="3"/>
  <c r="E266" i="3"/>
  <c r="B267" i="3"/>
  <c r="C267" i="3"/>
  <c r="D267" i="3"/>
  <c r="E267" i="3"/>
  <c r="B268" i="3"/>
  <c r="C268" i="3"/>
  <c r="D268" i="3"/>
  <c r="E268" i="3"/>
  <c r="B269" i="3"/>
  <c r="C269" i="3"/>
  <c r="D269" i="3"/>
  <c r="E269" i="3"/>
  <c r="B270" i="3"/>
  <c r="C270" i="3"/>
  <c r="D270" i="3"/>
  <c r="E270" i="3"/>
  <c r="B271" i="3"/>
  <c r="C271" i="3"/>
  <c r="D271" i="3"/>
  <c r="E271" i="3"/>
  <c r="B272" i="3"/>
  <c r="C272" i="3"/>
  <c r="D272" i="3"/>
  <c r="E272" i="3"/>
  <c r="B273" i="3"/>
  <c r="C273" i="3"/>
  <c r="D273" i="3"/>
  <c r="E273" i="3"/>
  <c r="B274" i="3"/>
  <c r="C274" i="3"/>
  <c r="D274" i="3"/>
  <c r="E274" i="3"/>
  <c r="B275" i="3"/>
  <c r="C275" i="3"/>
  <c r="D275" i="3"/>
  <c r="E275" i="3"/>
  <c r="B276" i="3"/>
  <c r="C276" i="3"/>
  <c r="D276" i="3"/>
  <c r="E276" i="3"/>
  <c r="B277" i="3"/>
  <c r="C277" i="3"/>
  <c r="D277" i="3"/>
  <c r="E277" i="3"/>
  <c r="B278" i="3"/>
  <c r="C278" i="3"/>
  <c r="D278" i="3"/>
  <c r="E278" i="3"/>
  <c r="B279" i="3"/>
  <c r="C279" i="3"/>
  <c r="D279" i="3"/>
  <c r="E279" i="3"/>
  <c r="B280" i="3"/>
  <c r="C280" i="3"/>
  <c r="D280" i="3"/>
  <c r="E280" i="3"/>
  <c r="B281" i="3"/>
  <c r="C281" i="3"/>
  <c r="D281" i="3"/>
  <c r="E281" i="3"/>
  <c r="B282" i="3"/>
  <c r="C282" i="3"/>
  <c r="D282" i="3"/>
  <c r="E282" i="3"/>
  <c r="B283" i="3"/>
  <c r="C283" i="3"/>
  <c r="D283" i="3"/>
  <c r="E283" i="3"/>
  <c r="B284" i="3"/>
  <c r="C284" i="3"/>
  <c r="D284" i="3"/>
  <c r="E284" i="3"/>
  <c r="B285" i="3"/>
  <c r="C285" i="3"/>
  <c r="D285" i="3"/>
  <c r="E285" i="3"/>
  <c r="B286" i="3"/>
  <c r="C286" i="3"/>
  <c r="D286" i="3"/>
  <c r="E286" i="3"/>
  <c r="B287" i="3"/>
  <c r="C287" i="3"/>
  <c r="D287" i="3"/>
  <c r="E287" i="3"/>
  <c r="B288" i="3"/>
  <c r="C288" i="3"/>
  <c r="D288" i="3"/>
  <c r="E288" i="3"/>
  <c r="B289" i="3"/>
  <c r="C289" i="3"/>
  <c r="D289" i="3"/>
  <c r="E289" i="3"/>
  <c r="B290" i="3"/>
  <c r="C290" i="3"/>
  <c r="D290" i="3"/>
  <c r="E290" i="3"/>
  <c r="B291" i="3"/>
  <c r="C291" i="3"/>
  <c r="D291" i="3"/>
  <c r="E291" i="3"/>
  <c r="B292" i="3"/>
  <c r="C292" i="3"/>
  <c r="D292" i="3"/>
  <c r="E292" i="3"/>
  <c r="B293" i="3"/>
  <c r="C293" i="3"/>
  <c r="D293" i="3"/>
  <c r="E293" i="3"/>
  <c r="B294" i="3"/>
  <c r="C294" i="3"/>
  <c r="D294" i="3"/>
  <c r="E294" i="3"/>
  <c r="B295" i="3"/>
  <c r="C295" i="3"/>
  <c r="D295" i="3"/>
  <c r="E295" i="3"/>
  <c r="B296" i="3"/>
  <c r="C296" i="3"/>
  <c r="D296" i="3"/>
  <c r="E296" i="3"/>
  <c r="B297" i="3"/>
  <c r="C297" i="3"/>
  <c r="D297" i="3"/>
  <c r="E297" i="3"/>
  <c r="B298" i="3"/>
  <c r="C298" i="3"/>
  <c r="D298" i="3"/>
  <c r="E298" i="3"/>
  <c r="B299" i="3"/>
  <c r="C299" i="3"/>
  <c r="D299" i="3"/>
  <c r="E299" i="3"/>
  <c r="B300" i="3"/>
  <c r="C300" i="3"/>
  <c r="D300" i="3"/>
  <c r="E300" i="3"/>
  <c r="B301" i="3"/>
  <c r="C301" i="3"/>
  <c r="D301" i="3"/>
  <c r="E301" i="3"/>
  <c r="B302" i="3"/>
  <c r="C302" i="3"/>
  <c r="D302" i="3"/>
  <c r="E302" i="3"/>
  <c r="B303" i="3"/>
  <c r="C303" i="3"/>
  <c r="D303" i="3"/>
  <c r="E303" i="3"/>
  <c r="B304" i="3"/>
  <c r="C304" i="3"/>
  <c r="D304" i="3"/>
  <c r="E304" i="3"/>
  <c r="B305" i="3"/>
  <c r="C305" i="3"/>
  <c r="D305" i="3"/>
  <c r="E305" i="3"/>
  <c r="B306" i="3"/>
  <c r="C306" i="3"/>
  <c r="D306" i="3"/>
  <c r="E306" i="3"/>
  <c r="B307" i="3"/>
  <c r="C307" i="3"/>
  <c r="D307" i="3"/>
  <c r="E307" i="3"/>
  <c r="B308" i="3"/>
  <c r="C308" i="3"/>
  <c r="D308" i="3"/>
  <c r="E308" i="3"/>
  <c r="B309" i="3"/>
  <c r="C309" i="3"/>
  <c r="D309" i="3"/>
  <c r="E309" i="3"/>
  <c r="B310" i="3"/>
  <c r="C310" i="3"/>
  <c r="D310" i="3"/>
  <c r="E310" i="3"/>
  <c r="B311" i="3"/>
  <c r="C311" i="3"/>
  <c r="D311" i="3"/>
  <c r="E311" i="3"/>
  <c r="B312" i="3"/>
  <c r="C312" i="3"/>
  <c r="D312" i="3"/>
  <c r="E312" i="3"/>
  <c r="B313" i="3"/>
  <c r="C313" i="3"/>
  <c r="D313" i="3"/>
  <c r="E313" i="3"/>
  <c r="B314" i="3"/>
  <c r="C314" i="3"/>
  <c r="D314" i="3"/>
  <c r="E314" i="3"/>
  <c r="B315" i="3"/>
  <c r="C315" i="3"/>
  <c r="D315" i="3"/>
  <c r="E315" i="3"/>
  <c r="B316" i="3"/>
  <c r="C316" i="3"/>
  <c r="D316" i="3"/>
  <c r="E316" i="3"/>
  <c r="B317" i="3"/>
  <c r="C317" i="3"/>
  <c r="D317" i="3"/>
  <c r="E317" i="3"/>
  <c r="B318" i="3"/>
  <c r="C318" i="3"/>
  <c r="D318" i="3"/>
  <c r="E318" i="3"/>
  <c r="B319" i="3"/>
  <c r="C319" i="3"/>
  <c r="D319" i="3"/>
  <c r="E319" i="3"/>
  <c r="B320" i="3"/>
  <c r="C320" i="3"/>
  <c r="D320" i="3"/>
  <c r="E320" i="3"/>
  <c r="B321" i="3"/>
  <c r="C321" i="3"/>
  <c r="D321" i="3"/>
  <c r="E321" i="3"/>
  <c r="B322" i="3"/>
  <c r="C322" i="3"/>
  <c r="D322" i="3"/>
  <c r="E322" i="3"/>
  <c r="B323" i="3"/>
  <c r="C323" i="3"/>
  <c r="D323" i="3"/>
  <c r="E323" i="3"/>
  <c r="B324" i="3"/>
  <c r="C324" i="3"/>
  <c r="D324" i="3"/>
  <c r="E324" i="3"/>
  <c r="B325" i="3"/>
  <c r="C325" i="3"/>
  <c r="D325" i="3"/>
  <c r="E325" i="3"/>
  <c r="B326" i="3"/>
  <c r="C326" i="3"/>
  <c r="D326" i="3"/>
  <c r="E326" i="3"/>
  <c r="B327" i="3"/>
  <c r="C327" i="3"/>
  <c r="D327" i="3"/>
  <c r="E327" i="3"/>
  <c r="B328" i="3"/>
  <c r="C328" i="3"/>
  <c r="D328" i="3"/>
  <c r="E328" i="3"/>
  <c r="B329" i="3"/>
  <c r="C329" i="3"/>
  <c r="D329" i="3"/>
  <c r="E329" i="3"/>
  <c r="B330" i="3"/>
  <c r="C330" i="3"/>
  <c r="D330" i="3"/>
  <c r="E330" i="3"/>
  <c r="B331" i="3"/>
  <c r="C331" i="3"/>
  <c r="D331" i="3"/>
  <c r="E331" i="3"/>
  <c r="B332" i="3"/>
  <c r="C332" i="3"/>
  <c r="D332" i="3"/>
  <c r="E332" i="3"/>
  <c r="B333" i="3"/>
  <c r="C333" i="3"/>
  <c r="D333" i="3"/>
  <c r="E333" i="3"/>
  <c r="B334" i="3"/>
  <c r="C334" i="3"/>
  <c r="D334" i="3"/>
  <c r="E334" i="3"/>
  <c r="B335" i="3"/>
  <c r="C335" i="3"/>
  <c r="D335" i="3"/>
  <c r="E335" i="3"/>
  <c r="B336" i="3"/>
  <c r="C336" i="3"/>
  <c r="D336" i="3"/>
  <c r="E336" i="3"/>
  <c r="B337" i="3"/>
  <c r="C337" i="3"/>
  <c r="D337" i="3"/>
  <c r="E337" i="3"/>
  <c r="B338" i="3"/>
  <c r="C338" i="3"/>
  <c r="D338" i="3"/>
  <c r="E338" i="3"/>
  <c r="B339" i="3"/>
  <c r="C339" i="3"/>
  <c r="D339" i="3"/>
  <c r="E339" i="3"/>
  <c r="B340" i="3"/>
  <c r="C340" i="3"/>
  <c r="D340" i="3"/>
  <c r="E340" i="3"/>
  <c r="B341" i="3"/>
  <c r="C341" i="3"/>
  <c r="D341" i="3"/>
  <c r="E341" i="3"/>
  <c r="B342" i="3"/>
  <c r="C342" i="3"/>
  <c r="D342" i="3"/>
  <c r="E342" i="3"/>
  <c r="B343" i="3"/>
  <c r="C343" i="3"/>
  <c r="D343" i="3"/>
  <c r="E343" i="3"/>
  <c r="B344" i="3"/>
  <c r="C344" i="3"/>
  <c r="D344" i="3"/>
  <c r="E344" i="3"/>
  <c r="B345" i="3"/>
  <c r="C345" i="3"/>
  <c r="D345" i="3"/>
  <c r="E345" i="3"/>
  <c r="B346" i="3"/>
  <c r="C346" i="3"/>
  <c r="D346" i="3"/>
  <c r="E346" i="3"/>
  <c r="B347" i="3"/>
  <c r="C347" i="3"/>
  <c r="D347" i="3"/>
  <c r="E347" i="3"/>
  <c r="B348" i="3"/>
  <c r="C348" i="3"/>
  <c r="D348" i="3"/>
  <c r="E348" i="3"/>
  <c r="B349" i="3"/>
  <c r="C349" i="3"/>
  <c r="D349" i="3"/>
  <c r="E349" i="3"/>
  <c r="B350" i="3"/>
  <c r="C350" i="3"/>
  <c r="D350" i="3"/>
  <c r="E350" i="3"/>
  <c r="B351" i="3"/>
  <c r="C351" i="3"/>
  <c r="D351" i="3"/>
  <c r="E351" i="3"/>
  <c r="B352" i="3"/>
  <c r="C352" i="3"/>
  <c r="D352" i="3"/>
  <c r="E352" i="3"/>
  <c r="B353" i="3"/>
  <c r="C353" i="3"/>
  <c r="D353" i="3"/>
  <c r="E353" i="3"/>
  <c r="B354" i="3"/>
  <c r="C354" i="3"/>
  <c r="D354" i="3"/>
  <c r="E354" i="3"/>
  <c r="B355" i="3"/>
  <c r="C355" i="3"/>
  <c r="D355" i="3"/>
  <c r="E355" i="3"/>
  <c r="B356" i="3"/>
  <c r="C356" i="3"/>
  <c r="D356" i="3"/>
  <c r="E356" i="3"/>
  <c r="B357" i="3"/>
  <c r="C357" i="3"/>
  <c r="D357" i="3"/>
  <c r="E357" i="3"/>
  <c r="B358" i="3"/>
  <c r="C358" i="3"/>
  <c r="D358" i="3"/>
  <c r="E358" i="3"/>
  <c r="B359" i="3"/>
  <c r="C359" i="3"/>
  <c r="D359" i="3"/>
  <c r="E359" i="3"/>
  <c r="B360" i="3"/>
  <c r="C360" i="3"/>
  <c r="D360" i="3"/>
  <c r="E360" i="3"/>
  <c r="B361" i="3"/>
  <c r="C361" i="3"/>
  <c r="D361" i="3"/>
  <c r="E361" i="3"/>
  <c r="B362" i="3"/>
  <c r="C362" i="3"/>
  <c r="D362" i="3"/>
  <c r="E362" i="3"/>
  <c r="B363" i="3"/>
  <c r="C363" i="3"/>
  <c r="D363" i="3"/>
  <c r="E363" i="3"/>
  <c r="B364" i="3"/>
  <c r="C364" i="3"/>
  <c r="D364" i="3"/>
  <c r="E364" i="3"/>
  <c r="B365" i="3"/>
  <c r="C365" i="3"/>
  <c r="D365" i="3"/>
  <c r="E365" i="3"/>
  <c r="B366" i="3"/>
  <c r="C366" i="3"/>
  <c r="D366" i="3"/>
  <c r="E366" i="3"/>
  <c r="B367" i="3"/>
  <c r="C367" i="3"/>
  <c r="D367" i="3"/>
  <c r="E367" i="3"/>
  <c r="B368" i="3"/>
  <c r="C368" i="3"/>
  <c r="D368" i="3"/>
  <c r="E368" i="3"/>
  <c r="B369" i="3"/>
  <c r="C369" i="3"/>
  <c r="D369" i="3"/>
  <c r="E369" i="3"/>
  <c r="B370" i="3"/>
  <c r="C370" i="3"/>
  <c r="D370" i="3"/>
  <c r="E370" i="3"/>
  <c r="B371" i="3"/>
  <c r="C371" i="3"/>
  <c r="D371" i="3"/>
  <c r="E371" i="3"/>
  <c r="B372" i="3"/>
  <c r="C372" i="3"/>
  <c r="D372" i="3"/>
  <c r="E372" i="3"/>
  <c r="B373" i="3"/>
  <c r="C373" i="3"/>
  <c r="D373" i="3"/>
  <c r="E373" i="3"/>
  <c r="B374" i="3"/>
  <c r="C374" i="3"/>
  <c r="D374" i="3"/>
  <c r="E374" i="3"/>
  <c r="B375" i="3"/>
  <c r="C375" i="3"/>
  <c r="D375" i="3"/>
  <c r="E375" i="3"/>
  <c r="B376" i="3"/>
  <c r="C376" i="3"/>
  <c r="D376" i="3"/>
  <c r="E376" i="3"/>
  <c r="B377" i="3"/>
  <c r="C377" i="3"/>
  <c r="D377" i="3"/>
  <c r="E377" i="3"/>
  <c r="B378" i="3"/>
  <c r="C378" i="3"/>
  <c r="D378" i="3"/>
  <c r="E378" i="3"/>
  <c r="B379" i="3"/>
  <c r="C379" i="3"/>
  <c r="D379" i="3"/>
  <c r="E379" i="3"/>
  <c r="B380" i="3"/>
  <c r="C380" i="3"/>
  <c r="D380" i="3"/>
  <c r="E380" i="3"/>
  <c r="B381" i="3"/>
  <c r="C381" i="3"/>
  <c r="D381" i="3"/>
  <c r="E381" i="3"/>
  <c r="B382" i="3"/>
  <c r="C382" i="3"/>
  <c r="D382" i="3"/>
  <c r="E382" i="3"/>
  <c r="B383" i="3"/>
  <c r="C383" i="3"/>
  <c r="D383" i="3"/>
  <c r="E383" i="3"/>
  <c r="B384" i="3"/>
  <c r="C384" i="3"/>
  <c r="D384" i="3"/>
  <c r="E384" i="3"/>
  <c r="B385" i="3"/>
  <c r="C385" i="3"/>
  <c r="D385" i="3"/>
  <c r="E385" i="3"/>
  <c r="B386" i="3"/>
  <c r="C386" i="3"/>
  <c r="D386" i="3"/>
  <c r="E386" i="3"/>
  <c r="B387" i="3"/>
  <c r="C387" i="3"/>
  <c r="D387" i="3"/>
  <c r="E387" i="3"/>
  <c r="B388" i="3"/>
  <c r="C388" i="3"/>
  <c r="D388" i="3"/>
  <c r="E388" i="3"/>
  <c r="B389" i="3"/>
  <c r="C389" i="3"/>
  <c r="D389" i="3"/>
  <c r="E389" i="3"/>
  <c r="B390" i="3"/>
  <c r="C390" i="3"/>
  <c r="D390" i="3"/>
  <c r="E390" i="3"/>
  <c r="B391" i="3"/>
  <c r="C391" i="3"/>
  <c r="D391" i="3"/>
  <c r="E391" i="3"/>
  <c r="B392" i="3"/>
  <c r="C392" i="3"/>
  <c r="D392" i="3"/>
  <c r="E392" i="3"/>
  <c r="B393" i="3"/>
  <c r="C393" i="3"/>
  <c r="D393" i="3"/>
  <c r="E393" i="3"/>
  <c r="B394" i="3"/>
  <c r="C394" i="3"/>
  <c r="D394" i="3"/>
  <c r="E394" i="3"/>
  <c r="B395" i="3"/>
  <c r="C395" i="3"/>
  <c r="D395" i="3"/>
  <c r="E395" i="3"/>
  <c r="B396" i="3"/>
  <c r="C396" i="3"/>
  <c r="D396" i="3"/>
  <c r="E396" i="3"/>
  <c r="B397" i="3"/>
  <c r="C397" i="3"/>
  <c r="D397" i="3"/>
  <c r="E397" i="3"/>
  <c r="B398" i="3"/>
  <c r="C398" i="3"/>
  <c r="D398" i="3"/>
  <c r="E398" i="3"/>
  <c r="B399" i="3"/>
  <c r="C399" i="3"/>
  <c r="D399" i="3"/>
  <c r="E399" i="3"/>
  <c r="B400" i="3"/>
  <c r="C400" i="3"/>
  <c r="D400" i="3"/>
  <c r="E400" i="3"/>
  <c r="B401" i="3"/>
  <c r="C401" i="3"/>
  <c r="D401" i="3"/>
  <c r="E401" i="3"/>
  <c r="B402" i="3"/>
  <c r="C402" i="3"/>
  <c r="D402" i="3"/>
  <c r="E402" i="3"/>
  <c r="B403" i="3"/>
  <c r="C403" i="3"/>
  <c r="D403" i="3"/>
  <c r="E403" i="3"/>
  <c r="B404" i="3"/>
  <c r="C404" i="3"/>
  <c r="D404" i="3"/>
  <c r="E404" i="3"/>
  <c r="B405" i="3"/>
  <c r="C405" i="3"/>
  <c r="D405" i="3"/>
  <c r="E405" i="3"/>
  <c r="B406" i="3"/>
  <c r="C406" i="3"/>
  <c r="D406" i="3"/>
  <c r="E406" i="3"/>
  <c r="B407" i="3"/>
  <c r="C407" i="3"/>
  <c r="D407" i="3"/>
  <c r="E407" i="3"/>
  <c r="B408" i="3"/>
  <c r="C408" i="3"/>
  <c r="D408" i="3"/>
  <c r="E408" i="3"/>
  <c r="B409" i="3"/>
  <c r="C409" i="3"/>
  <c r="D409" i="3"/>
  <c r="E409" i="3"/>
  <c r="B410" i="3"/>
  <c r="C410" i="3"/>
  <c r="D410" i="3"/>
  <c r="E410" i="3"/>
  <c r="B411" i="3"/>
  <c r="C411" i="3"/>
  <c r="D411" i="3"/>
  <c r="E411" i="3"/>
  <c r="B412" i="3"/>
  <c r="C412" i="3"/>
  <c r="D412" i="3"/>
  <c r="E412" i="3"/>
  <c r="B413" i="3"/>
  <c r="C413" i="3"/>
  <c r="D413" i="3"/>
  <c r="E413" i="3"/>
  <c r="B414" i="3"/>
  <c r="C414" i="3"/>
  <c r="D414" i="3"/>
  <c r="E414" i="3"/>
  <c r="B415" i="3"/>
  <c r="C415" i="3"/>
  <c r="D415" i="3"/>
  <c r="E415" i="3"/>
  <c r="B416" i="3"/>
  <c r="C416" i="3"/>
  <c r="D416" i="3"/>
  <c r="E416" i="3"/>
  <c r="B417" i="3"/>
  <c r="C417" i="3"/>
  <c r="D417" i="3"/>
  <c r="E417" i="3"/>
  <c r="B418" i="3"/>
  <c r="C418" i="3"/>
  <c r="D418" i="3"/>
  <c r="E418" i="3"/>
  <c r="B419" i="3"/>
  <c r="C419" i="3"/>
  <c r="D419" i="3"/>
  <c r="E419" i="3"/>
  <c r="B420" i="3"/>
  <c r="C420" i="3"/>
  <c r="D420" i="3"/>
  <c r="E420" i="3"/>
  <c r="B421" i="3"/>
  <c r="C421" i="3"/>
  <c r="D421" i="3"/>
  <c r="E421" i="3"/>
  <c r="B422" i="3"/>
  <c r="C422" i="3"/>
  <c r="D422" i="3"/>
  <c r="E422" i="3"/>
  <c r="B423" i="3"/>
  <c r="C423" i="3"/>
  <c r="D423" i="3"/>
  <c r="E423" i="3"/>
  <c r="B424" i="3"/>
  <c r="C424" i="3"/>
  <c r="D424" i="3"/>
  <c r="E424" i="3"/>
  <c r="B425" i="3"/>
  <c r="C425" i="3"/>
  <c r="D425" i="3"/>
  <c r="E425" i="3"/>
  <c r="B426" i="3"/>
  <c r="C426" i="3"/>
  <c r="D426" i="3"/>
  <c r="E426" i="3"/>
  <c r="B427" i="3"/>
  <c r="C427" i="3"/>
  <c r="D427" i="3"/>
  <c r="E427" i="3"/>
  <c r="B428" i="3"/>
  <c r="C428" i="3"/>
  <c r="D428" i="3"/>
  <c r="E428" i="3"/>
  <c r="B429" i="3"/>
  <c r="C429" i="3"/>
  <c r="D429" i="3"/>
  <c r="E429" i="3"/>
  <c r="B430" i="3"/>
  <c r="C430" i="3"/>
  <c r="D430" i="3"/>
  <c r="E430" i="3"/>
  <c r="B431" i="3"/>
  <c r="C431" i="3"/>
  <c r="D431" i="3"/>
  <c r="E431" i="3"/>
  <c r="B432" i="3"/>
  <c r="C432" i="3"/>
  <c r="D432" i="3"/>
  <c r="E432" i="3"/>
  <c r="B433" i="3"/>
  <c r="C433" i="3"/>
  <c r="D433" i="3"/>
  <c r="E433" i="3"/>
  <c r="B434" i="3"/>
  <c r="C434" i="3"/>
  <c r="D434" i="3"/>
  <c r="E434" i="3"/>
  <c r="B435" i="3"/>
  <c r="C435" i="3"/>
  <c r="D435" i="3"/>
  <c r="E435" i="3"/>
  <c r="B436" i="3"/>
  <c r="C436" i="3"/>
  <c r="D436" i="3"/>
  <c r="E436" i="3"/>
  <c r="B437" i="3"/>
  <c r="C437" i="3"/>
  <c r="D437" i="3"/>
  <c r="E437" i="3"/>
  <c r="B438" i="3"/>
  <c r="C438" i="3"/>
  <c r="D438" i="3"/>
  <c r="E438" i="3"/>
  <c r="B439" i="3"/>
  <c r="C439" i="3"/>
  <c r="D439" i="3"/>
  <c r="E439" i="3"/>
  <c r="B440" i="3"/>
  <c r="C440" i="3"/>
  <c r="D440" i="3"/>
  <c r="E440" i="3"/>
  <c r="B441" i="3"/>
  <c r="C441" i="3"/>
  <c r="D441" i="3"/>
  <c r="E441" i="3"/>
  <c r="B442" i="3"/>
  <c r="C442" i="3"/>
  <c r="D442" i="3"/>
  <c r="E442" i="3"/>
  <c r="B443" i="3"/>
  <c r="C443" i="3"/>
  <c r="D443" i="3"/>
  <c r="E443" i="3"/>
  <c r="B444" i="3"/>
  <c r="C444" i="3"/>
  <c r="D444" i="3"/>
  <c r="E444" i="3"/>
  <c r="B445" i="3"/>
  <c r="C445" i="3"/>
  <c r="D445" i="3"/>
  <c r="E445" i="3"/>
  <c r="B446" i="3"/>
  <c r="C446" i="3"/>
  <c r="D446" i="3"/>
  <c r="E446" i="3"/>
  <c r="B447" i="3"/>
  <c r="C447" i="3"/>
  <c r="D447" i="3"/>
  <c r="E447" i="3"/>
  <c r="B448" i="3"/>
  <c r="C448" i="3"/>
  <c r="D448" i="3"/>
  <c r="E448" i="3"/>
  <c r="B449" i="3"/>
  <c r="C449" i="3"/>
  <c r="D449" i="3"/>
  <c r="E449" i="3"/>
  <c r="B450" i="3"/>
  <c r="C450" i="3"/>
  <c r="D450" i="3"/>
  <c r="E450" i="3"/>
  <c r="B451" i="3"/>
  <c r="C451" i="3"/>
  <c r="D451" i="3"/>
  <c r="E451" i="3"/>
  <c r="B452" i="3"/>
  <c r="C452" i="3"/>
  <c r="D452" i="3"/>
  <c r="E452" i="3"/>
  <c r="B453" i="3"/>
  <c r="C453" i="3"/>
  <c r="D453" i="3"/>
  <c r="E453" i="3"/>
  <c r="B454" i="3"/>
  <c r="C454" i="3"/>
  <c r="D454" i="3"/>
  <c r="E454" i="3"/>
  <c r="B455" i="3"/>
  <c r="C455" i="3"/>
  <c r="D455" i="3"/>
  <c r="E455" i="3"/>
  <c r="B456" i="3"/>
  <c r="C456" i="3"/>
  <c r="D456" i="3"/>
  <c r="E456" i="3"/>
  <c r="B457" i="3"/>
  <c r="C457" i="3"/>
  <c r="D457" i="3"/>
  <c r="E457" i="3"/>
  <c r="B458" i="3"/>
  <c r="C458" i="3"/>
  <c r="D458" i="3"/>
  <c r="E458" i="3"/>
  <c r="B459" i="3"/>
  <c r="C459" i="3"/>
  <c r="D459" i="3"/>
  <c r="E459" i="3"/>
  <c r="B460" i="3"/>
  <c r="C460" i="3"/>
  <c r="D460" i="3"/>
  <c r="E460" i="3"/>
  <c r="B461" i="3"/>
  <c r="C461" i="3"/>
  <c r="D461" i="3"/>
  <c r="E461" i="3"/>
  <c r="B462" i="3"/>
  <c r="C462" i="3"/>
  <c r="D462" i="3"/>
  <c r="E462" i="3"/>
  <c r="B463" i="3"/>
  <c r="C463" i="3"/>
  <c r="D463" i="3"/>
  <c r="E463" i="3"/>
  <c r="B464" i="3"/>
  <c r="C464" i="3"/>
  <c r="D464" i="3"/>
  <c r="E464" i="3"/>
  <c r="B465" i="3"/>
  <c r="C465" i="3"/>
  <c r="D465" i="3"/>
  <c r="E465" i="3"/>
  <c r="B466" i="3"/>
  <c r="C466" i="3"/>
  <c r="D466" i="3"/>
  <c r="E466" i="3"/>
  <c r="B467" i="3"/>
  <c r="C467" i="3"/>
  <c r="D467" i="3"/>
  <c r="E467" i="3"/>
  <c r="B468" i="3"/>
  <c r="C468" i="3"/>
  <c r="D468" i="3"/>
  <c r="E468" i="3"/>
  <c r="B469" i="3"/>
  <c r="C469" i="3"/>
  <c r="D469" i="3"/>
  <c r="E469" i="3"/>
  <c r="B470" i="3"/>
  <c r="C470" i="3"/>
  <c r="D470" i="3"/>
  <c r="E470" i="3"/>
  <c r="B471" i="3"/>
  <c r="C471" i="3"/>
  <c r="D471" i="3"/>
  <c r="E471" i="3"/>
  <c r="B472" i="3"/>
  <c r="C472" i="3"/>
  <c r="D472" i="3"/>
  <c r="E472" i="3"/>
  <c r="B473" i="3"/>
  <c r="C473" i="3"/>
  <c r="D473" i="3"/>
  <c r="E473" i="3"/>
  <c r="B474" i="3"/>
  <c r="C474" i="3"/>
  <c r="D474" i="3"/>
  <c r="E474" i="3"/>
  <c r="B475" i="3"/>
  <c r="C475" i="3"/>
  <c r="D475" i="3"/>
  <c r="E475" i="3"/>
  <c r="B476" i="3"/>
  <c r="C476" i="3"/>
  <c r="D476" i="3"/>
  <c r="E476" i="3"/>
  <c r="B477" i="3"/>
  <c r="C477" i="3"/>
  <c r="D477" i="3"/>
  <c r="E477" i="3"/>
  <c r="B478" i="3"/>
  <c r="C478" i="3"/>
  <c r="D478" i="3"/>
  <c r="E478" i="3"/>
  <c r="B479" i="3"/>
  <c r="C479" i="3"/>
  <c r="D479" i="3"/>
  <c r="E479" i="3"/>
  <c r="B480" i="3"/>
  <c r="C480" i="3"/>
  <c r="D480" i="3"/>
  <c r="E480" i="3"/>
  <c r="B481" i="3"/>
  <c r="C481" i="3"/>
  <c r="D481" i="3"/>
  <c r="E481" i="3"/>
  <c r="B482" i="3"/>
  <c r="C482" i="3"/>
  <c r="D482" i="3"/>
  <c r="E482" i="3"/>
  <c r="B483" i="3"/>
  <c r="C483" i="3"/>
  <c r="D483" i="3"/>
  <c r="E483" i="3"/>
  <c r="B484" i="3"/>
  <c r="C484" i="3"/>
  <c r="D484" i="3"/>
  <c r="E484" i="3"/>
  <c r="B485" i="3"/>
  <c r="C485" i="3"/>
  <c r="D485" i="3"/>
  <c r="E485" i="3"/>
  <c r="B486" i="3"/>
  <c r="C486" i="3"/>
  <c r="D486" i="3"/>
  <c r="E486" i="3"/>
  <c r="B487" i="3"/>
  <c r="C487" i="3"/>
  <c r="D487" i="3"/>
  <c r="E487" i="3"/>
  <c r="B488" i="3"/>
  <c r="C488" i="3"/>
  <c r="D488" i="3"/>
  <c r="E488" i="3"/>
  <c r="B489" i="3"/>
  <c r="C489" i="3"/>
  <c r="D489" i="3"/>
  <c r="E489" i="3"/>
  <c r="B490" i="3"/>
  <c r="C490" i="3"/>
  <c r="D490" i="3"/>
  <c r="E490" i="3"/>
  <c r="B491" i="3"/>
  <c r="C491" i="3"/>
  <c r="D491" i="3"/>
  <c r="E491" i="3"/>
  <c r="B492" i="3"/>
  <c r="C492" i="3"/>
  <c r="D492" i="3"/>
  <c r="E492" i="3"/>
  <c r="B493" i="3"/>
  <c r="C493" i="3"/>
  <c r="D493" i="3"/>
  <c r="E493" i="3"/>
  <c r="B494" i="3"/>
  <c r="C494" i="3"/>
  <c r="D494" i="3"/>
  <c r="E494" i="3"/>
  <c r="B495" i="3"/>
  <c r="C495" i="3"/>
  <c r="D495" i="3"/>
  <c r="E495" i="3"/>
  <c r="B496" i="3"/>
  <c r="C496" i="3"/>
  <c r="D496" i="3"/>
  <c r="E496" i="3"/>
  <c r="B497" i="3"/>
  <c r="C497" i="3"/>
  <c r="D497" i="3"/>
  <c r="E497" i="3"/>
  <c r="B498" i="3"/>
  <c r="C498" i="3"/>
  <c r="D498" i="3"/>
  <c r="E498" i="3"/>
  <c r="B499" i="3"/>
  <c r="C499" i="3"/>
  <c r="D499" i="3"/>
  <c r="E499" i="3"/>
  <c r="B500" i="3"/>
  <c r="C500" i="3"/>
  <c r="D500" i="3"/>
  <c r="E500" i="3"/>
  <c r="B501" i="3"/>
  <c r="C501" i="3"/>
  <c r="D501" i="3"/>
  <c r="E501" i="3"/>
  <c r="B502" i="3"/>
  <c r="C502" i="3"/>
  <c r="D502" i="3"/>
  <c r="E502" i="3"/>
  <c r="B503" i="3"/>
  <c r="C503" i="3"/>
  <c r="D503" i="3"/>
  <c r="E503" i="3"/>
  <c r="B504" i="3"/>
  <c r="C504" i="3"/>
  <c r="D504" i="3"/>
  <c r="E504" i="3"/>
  <c r="B505" i="3"/>
  <c r="C505" i="3"/>
  <c r="D505" i="3"/>
  <c r="E505" i="3"/>
  <c r="B506" i="3"/>
  <c r="C506" i="3"/>
  <c r="D506" i="3"/>
  <c r="E506" i="3"/>
  <c r="B507" i="3"/>
  <c r="C507" i="3"/>
  <c r="D507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B1007" i="3"/>
  <c r="C1007" i="3"/>
  <c r="D1007" i="3"/>
  <c r="E1007" i="3"/>
  <c r="B1008" i="3"/>
  <c r="C1008" i="3"/>
  <c r="D1008" i="3"/>
  <c r="E1008" i="3"/>
  <c r="B1009" i="3"/>
  <c r="C1009" i="3"/>
  <c r="D1009" i="3"/>
  <c r="E1009" i="3"/>
  <c r="B1010" i="3"/>
  <c r="C1010" i="3"/>
  <c r="D1010" i="3"/>
  <c r="E1010" i="3"/>
  <c r="B1011" i="3"/>
  <c r="C1011" i="3"/>
  <c r="D1011" i="3"/>
  <c r="E1011" i="3"/>
  <c r="B1012" i="3"/>
  <c r="C1012" i="3"/>
  <c r="D1012" i="3"/>
  <c r="E1012" i="3"/>
  <c r="B1013" i="3"/>
  <c r="C1013" i="3"/>
  <c r="D1013" i="3"/>
  <c r="E1013" i="3"/>
  <c r="B1014" i="3"/>
  <c r="C1014" i="3"/>
  <c r="D1014" i="3"/>
  <c r="E1014" i="3"/>
  <c r="B1015" i="3"/>
  <c r="C1015" i="3"/>
  <c r="D1015" i="3"/>
  <c r="E1015" i="3"/>
  <c r="B1016" i="3"/>
  <c r="C1016" i="3"/>
  <c r="D1016" i="3"/>
  <c r="E1016" i="3"/>
  <c r="B1017" i="3"/>
  <c r="C1017" i="3"/>
  <c r="D1017" i="3"/>
  <c r="E1017" i="3"/>
  <c r="B1018" i="3"/>
  <c r="C1018" i="3"/>
  <c r="D1018" i="3"/>
  <c r="E1018" i="3"/>
  <c r="B1019" i="3"/>
  <c r="C1019" i="3"/>
  <c r="D1019" i="3"/>
  <c r="E1019" i="3"/>
  <c r="B1020" i="3"/>
  <c r="C1020" i="3"/>
  <c r="D1020" i="3"/>
  <c r="E1020" i="3"/>
  <c r="B1021" i="3"/>
  <c r="C1021" i="3"/>
  <c r="D1021" i="3"/>
  <c r="E1021" i="3"/>
  <c r="B1022" i="3"/>
  <c r="C1022" i="3"/>
  <c r="D1022" i="3"/>
  <c r="E1022" i="3"/>
  <c r="B1023" i="3"/>
  <c r="C1023" i="3"/>
  <c r="D1023" i="3"/>
  <c r="E1023" i="3"/>
  <c r="B1024" i="3"/>
  <c r="C1024" i="3"/>
  <c r="D1024" i="3"/>
  <c r="E1024" i="3"/>
  <c r="B1025" i="3"/>
  <c r="C1025" i="3"/>
  <c r="D1025" i="3"/>
  <c r="E1025" i="3"/>
  <c r="B1026" i="3"/>
  <c r="C1026" i="3"/>
  <c r="D1026" i="3"/>
  <c r="E1026" i="3"/>
  <c r="B1027" i="3"/>
  <c r="C1027" i="3"/>
  <c r="D1027" i="3"/>
  <c r="E1027" i="3"/>
  <c r="B1028" i="3"/>
  <c r="C1028" i="3"/>
  <c r="D1028" i="3"/>
  <c r="E1028" i="3"/>
  <c r="B1029" i="3"/>
  <c r="C1029" i="3"/>
  <c r="D1029" i="3"/>
  <c r="E1029" i="3"/>
  <c r="B1030" i="3"/>
  <c r="C1030" i="3"/>
  <c r="D1030" i="3"/>
  <c r="E1030" i="3"/>
  <c r="B1031" i="3"/>
  <c r="C1031" i="3"/>
  <c r="D1031" i="3"/>
  <c r="E1031" i="3"/>
  <c r="B1032" i="3"/>
  <c r="C1032" i="3"/>
  <c r="D1032" i="3"/>
  <c r="E1032" i="3"/>
  <c r="B1033" i="3"/>
  <c r="C1033" i="3"/>
  <c r="D1033" i="3"/>
  <c r="E1033" i="3"/>
  <c r="B1034" i="3"/>
  <c r="C1034" i="3"/>
  <c r="D1034" i="3"/>
  <c r="E1034" i="3"/>
  <c r="B1035" i="3"/>
  <c r="C1035" i="3"/>
  <c r="D1035" i="3"/>
  <c r="E1035" i="3"/>
  <c r="B1036" i="3"/>
  <c r="C1036" i="3"/>
  <c r="D1036" i="3"/>
  <c r="E1036" i="3"/>
  <c r="B1037" i="3"/>
  <c r="C1037" i="3"/>
  <c r="D1037" i="3"/>
  <c r="E1037" i="3"/>
  <c r="B1038" i="3"/>
  <c r="C1038" i="3"/>
  <c r="D1038" i="3"/>
  <c r="E1038" i="3"/>
  <c r="B1039" i="3"/>
  <c r="C1039" i="3"/>
  <c r="D1039" i="3"/>
  <c r="E1039" i="3"/>
  <c r="B1040" i="3"/>
  <c r="C1040" i="3"/>
  <c r="D1040" i="3"/>
  <c r="E1040" i="3"/>
  <c r="B1041" i="3"/>
  <c r="C1041" i="3"/>
  <c r="D1041" i="3"/>
  <c r="E1041" i="3"/>
  <c r="B1042" i="3"/>
  <c r="C1042" i="3"/>
  <c r="D1042" i="3"/>
  <c r="E1042" i="3"/>
  <c r="B1043" i="3"/>
  <c r="C1043" i="3"/>
  <c r="D1043" i="3"/>
  <c r="E1043" i="3"/>
  <c r="B1044" i="3"/>
  <c r="C1044" i="3"/>
  <c r="D1044" i="3"/>
  <c r="E1044" i="3"/>
  <c r="B1045" i="3"/>
  <c r="C1045" i="3"/>
  <c r="D1045" i="3"/>
  <c r="E1045" i="3"/>
  <c r="B1046" i="3"/>
  <c r="C1046" i="3"/>
  <c r="D1046" i="3"/>
  <c r="E1046" i="3"/>
  <c r="B1047" i="3"/>
  <c r="C1047" i="3"/>
  <c r="D1047" i="3"/>
  <c r="E1047" i="3"/>
  <c r="B1048" i="3"/>
  <c r="C1048" i="3"/>
  <c r="D1048" i="3"/>
  <c r="E1048" i="3"/>
  <c r="B1050" i="3"/>
  <c r="E1050" i="3"/>
  <c r="B1051" i="3"/>
  <c r="C1051" i="3"/>
  <c r="E1051" i="3"/>
  <c r="B1052" i="3"/>
  <c r="E1052" i="3"/>
  <c r="B1053" i="3"/>
  <c r="D1053" i="3"/>
  <c r="E1053" i="3"/>
  <c r="B1054" i="3"/>
  <c r="E1054" i="3"/>
  <c r="B1055" i="3"/>
  <c r="C1055" i="3"/>
  <c r="D1055" i="3"/>
  <c r="E1055" i="3"/>
  <c r="B1056" i="3"/>
  <c r="E1056" i="3"/>
  <c r="B1057" i="3"/>
  <c r="C1057" i="3"/>
  <c r="E1057" i="3"/>
  <c r="B1058" i="3"/>
  <c r="E1058" i="3"/>
  <c r="B1059" i="3"/>
  <c r="C1059" i="3"/>
  <c r="E1059" i="3"/>
  <c r="B1060" i="3"/>
  <c r="E1060" i="3"/>
  <c r="B1061" i="3"/>
  <c r="E1061" i="3"/>
  <c r="B1062" i="3"/>
  <c r="E1062" i="3"/>
  <c r="B1063" i="3"/>
  <c r="C1063" i="3"/>
  <c r="D1063" i="3"/>
  <c r="E1063" i="3"/>
  <c r="B1064" i="3"/>
  <c r="E1064" i="3"/>
  <c r="B1065" i="3"/>
  <c r="C1065" i="3"/>
  <c r="E1065" i="3"/>
  <c r="B1066" i="3"/>
  <c r="E1066" i="3"/>
  <c r="B1067" i="3"/>
  <c r="C1067" i="3"/>
  <c r="E1067" i="3"/>
  <c r="B1068" i="3"/>
  <c r="E1068" i="3"/>
  <c r="B1069" i="3"/>
  <c r="D1069" i="3"/>
  <c r="E1069" i="3"/>
  <c r="B1070" i="3"/>
  <c r="E1070" i="3"/>
  <c r="B1071" i="3"/>
  <c r="C1071" i="3"/>
  <c r="E1071" i="3"/>
  <c r="B1072" i="3"/>
  <c r="E1072" i="3"/>
  <c r="A1073" i="3"/>
  <c r="A1074" i="3" s="1"/>
  <c r="A1075" i="3" s="1"/>
  <c r="A1076" i="3" s="1"/>
  <c r="A1077" i="3" s="1"/>
  <c r="B1073" i="3"/>
  <c r="C1073" i="3"/>
  <c r="E1073" i="3"/>
  <c r="D1074" i="3"/>
  <c r="E1074" i="3"/>
  <c r="B1075" i="3"/>
  <c r="C1075" i="3"/>
  <c r="B1076" i="3"/>
  <c r="A1078" i="3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B1078" i="3"/>
  <c r="B1079" i="3"/>
  <c r="C1079" i="3"/>
  <c r="D1079" i="3"/>
  <c r="B1080" i="3"/>
  <c r="B1081" i="3"/>
  <c r="C1081" i="3"/>
  <c r="D1081" i="3"/>
  <c r="C1082" i="3"/>
  <c r="D1082" i="3"/>
  <c r="B1083" i="3"/>
  <c r="C1083" i="3"/>
  <c r="B1084" i="3"/>
  <c r="C1084" i="3"/>
  <c r="D1085" i="3"/>
  <c r="B1086" i="3"/>
  <c r="C1086" i="3"/>
  <c r="B1087" i="3"/>
  <c r="C1087" i="3"/>
  <c r="D1087" i="3"/>
  <c r="B1088" i="3"/>
  <c r="B1089" i="3"/>
  <c r="C1089" i="3"/>
  <c r="D1089" i="3"/>
  <c r="C1090" i="3"/>
  <c r="B1091" i="3"/>
  <c r="C1091" i="3"/>
  <c r="B1092" i="3"/>
  <c r="C1092" i="3"/>
  <c r="B1094" i="3"/>
  <c r="C1094" i="3"/>
  <c r="B1095" i="3"/>
  <c r="C1095" i="3"/>
  <c r="B1096" i="3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50" i="2"/>
  <c r="C1050" i="2"/>
  <c r="D1050" i="2"/>
  <c r="E1050" i="2"/>
  <c r="F1050" i="2"/>
  <c r="G1050" i="2"/>
  <c r="I1050" i="2"/>
  <c r="J1050" i="2"/>
  <c r="B1051" i="2"/>
  <c r="C1051" i="2"/>
  <c r="D1051" i="2"/>
  <c r="E1051" i="2"/>
  <c r="F1051" i="2"/>
  <c r="G1051" i="2"/>
  <c r="I1051" i="2"/>
  <c r="J1051" i="2"/>
  <c r="B1052" i="2"/>
  <c r="C1052" i="2"/>
  <c r="D1052" i="2"/>
  <c r="E1052" i="2"/>
  <c r="F1052" i="2"/>
  <c r="G1052" i="2"/>
  <c r="H1052" i="2"/>
  <c r="I1052" i="2"/>
  <c r="J1052" i="2"/>
  <c r="B1053" i="2"/>
  <c r="C1053" i="2"/>
  <c r="D1053" i="2"/>
  <c r="E1053" i="2"/>
  <c r="F1053" i="2"/>
  <c r="G1053" i="2"/>
  <c r="H1053" i="2"/>
  <c r="I1053" i="2"/>
  <c r="J1053" i="2"/>
  <c r="B1054" i="2"/>
  <c r="C1054" i="2"/>
  <c r="D1054" i="2"/>
  <c r="E1054" i="2"/>
  <c r="F1054" i="2"/>
  <c r="G1054" i="2"/>
  <c r="H1054" i="2"/>
  <c r="I1054" i="2"/>
  <c r="J1054" i="2"/>
  <c r="B1055" i="2"/>
  <c r="C1055" i="2"/>
  <c r="D1055" i="2"/>
  <c r="E1055" i="2"/>
  <c r="F1055" i="2"/>
  <c r="G1055" i="2"/>
  <c r="H1055" i="2"/>
  <c r="I1055" i="2"/>
  <c r="J1055" i="2"/>
  <c r="B1056" i="2"/>
  <c r="C1056" i="2"/>
  <c r="D1056" i="2"/>
  <c r="E1056" i="2"/>
  <c r="F1056" i="2"/>
  <c r="G1056" i="2"/>
  <c r="H1056" i="2"/>
  <c r="I1056" i="2"/>
  <c r="J1056" i="2"/>
  <c r="B1057" i="2"/>
  <c r="C1057" i="2"/>
  <c r="D1057" i="2"/>
  <c r="E1057" i="2"/>
  <c r="F1057" i="2"/>
  <c r="G1057" i="2"/>
  <c r="H1057" i="2"/>
  <c r="I1057" i="2"/>
  <c r="J1057" i="2"/>
  <c r="B1058" i="2"/>
  <c r="C1058" i="2"/>
  <c r="D1058" i="2"/>
  <c r="E1058" i="2"/>
  <c r="F1058" i="2"/>
  <c r="G1058" i="2"/>
  <c r="H1058" i="2"/>
  <c r="I1058" i="2"/>
  <c r="J1058" i="2"/>
  <c r="B1059" i="2"/>
  <c r="C1059" i="2"/>
  <c r="D1059" i="2"/>
  <c r="E1059" i="2"/>
  <c r="F1059" i="2"/>
  <c r="G1059" i="2"/>
  <c r="H1059" i="2"/>
  <c r="I1059" i="2"/>
  <c r="J1059" i="2"/>
  <c r="B1060" i="2"/>
  <c r="C1060" i="2"/>
  <c r="D1060" i="2"/>
  <c r="E1060" i="2"/>
  <c r="F1060" i="2"/>
  <c r="G1060" i="2"/>
  <c r="H1060" i="2"/>
  <c r="I1060" i="2"/>
  <c r="J1060" i="2"/>
  <c r="B1061" i="2"/>
  <c r="C1061" i="2"/>
  <c r="D1061" i="2"/>
  <c r="E1061" i="2"/>
  <c r="F1061" i="2"/>
  <c r="G1061" i="2"/>
  <c r="H1061" i="2"/>
  <c r="I1061" i="2"/>
  <c r="J1061" i="2"/>
  <c r="B1062" i="2"/>
  <c r="C1062" i="2"/>
  <c r="D1062" i="2"/>
  <c r="E1062" i="2"/>
  <c r="F1062" i="2"/>
  <c r="G1062" i="2"/>
  <c r="H1062" i="2"/>
  <c r="I1062" i="2"/>
  <c r="J1062" i="2"/>
  <c r="B1063" i="2"/>
  <c r="C1063" i="2"/>
  <c r="D1063" i="2"/>
  <c r="E1063" i="2"/>
  <c r="F1063" i="2"/>
  <c r="G1063" i="2"/>
  <c r="H1063" i="2"/>
  <c r="I1063" i="2"/>
  <c r="J1063" i="2"/>
  <c r="B1064" i="2"/>
  <c r="C1064" i="2"/>
  <c r="D1064" i="2"/>
  <c r="E1064" i="2"/>
  <c r="F1064" i="2"/>
  <c r="G1064" i="2"/>
  <c r="H1064" i="2"/>
  <c r="I1064" i="2"/>
  <c r="J1064" i="2"/>
  <c r="B1065" i="2"/>
  <c r="C1065" i="2"/>
  <c r="D1065" i="2"/>
  <c r="E1065" i="2"/>
  <c r="F1065" i="2"/>
  <c r="G1065" i="2"/>
  <c r="H1065" i="2"/>
  <c r="I1065" i="2"/>
  <c r="J1065" i="2"/>
  <c r="B1066" i="2"/>
  <c r="C1066" i="2"/>
  <c r="D1066" i="2"/>
  <c r="E1066" i="2"/>
  <c r="F1066" i="2"/>
  <c r="G1066" i="2"/>
  <c r="H1066" i="2"/>
  <c r="I1066" i="2"/>
  <c r="J1066" i="2"/>
  <c r="B1067" i="2"/>
  <c r="C1067" i="2"/>
  <c r="D1067" i="2"/>
  <c r="E1067" i="2"/>
  <c r="F1067" i="2"/>
  <c r="G1067" i="2"/>
  <c r="H1067" i="2"/>
  <c r="I1067" i="2"/>
  <c r="J1067" i="2"/>
  <c r="B1068" i="2"/>
  <c r="C1068" i="2"/>
  <c r="D1068" i="2"/>
  <c r="E1068" i="2"/>
  <c r="F1068" i="2"/>
  <c r="G1068" i="2"/>
  <c r="H1068" i="2"/>
  <c r="I1068" i="2"/>
  <c r="J1068" i="2"/>
  <c r="B1069" i="2"/>
  <c r="C1069" i="2"/>
  <c r="D1069" i="2"/>
  <c r="E1069" i="2"/>
  <c r="F1069" i="2"/>
  <c r="G1069" i="2"/>
  <c r="H1069" i="2"/>
  <c r="I1069" i="2"/>
  <c r="J1069" i="2"/>
  <c r="B1070" i="2"/>
  <c r="C1070" i="2"/>
  <c r="D1070" i="2"/>
  <c r="E1070" i="2"/>
  <c r="F1070" i="2"/>
  <c r="G1070" i="2"/>
  <c r="H1070" i="2"/>
  <c r="I1070" i="2"/>
  <c r="J1070" i="2"/>
  <c r="B1071" i="2"/>
  <c r="C1071" i="2"/>
  <c r="D1071" i="2"/>
  <c r="E1071" i="2"/>
  <c r="F1071" i="2"/>
  <c r="G1071" i="2"/>
  <c r="H1071" i="2"/>
  <c r="I1071" i="2"/>
  <c r="J1071" i="2"/>
  <c r="B1072" i="2"/>
  <c r="C1072" i="2"/>
  <c r="D1072" i="2"/>
  <c r="E1072" i="2"/>
  <c r="F1072" i="2"/>
  <c r="G1072" i="2"/>
  <c r="H1072" i="2"/>
  <c r="I1072" i="2"/>
  <c r="J1072" i="2"/>
  <c r="A1073" i="2"/>
  <c r="B1073" i="2" s="1"/>
  <c r="C1073" i="2"/>
  <c r="D1073" i="2"/>
  <c r="E1073" i="2"/>
  <c r="F1073" i="2"/>
  <c r="G1073" i="2"/>
  <c r="H1073" i="2"/>
  <c r="I1073" i="2"/>
  <c r="J1073" i="2"/>
  <c r="A1074" i="2"/>
  <c r="B1074" i="2"/>
  <c r="C1074" i="2"/>
  <c r="D1074" i="2"/>
  <c r="E1074" i="2"/>
  <c r="F1074" i="2"/>
  <c r="G1074" i="2"/>
  <c r="H1074" i="2"/>
  <c r="I1074" i="2"/>
  <c r="J1074" i="2"/>
  <c r="A1075" i="2"/>
  <c r="B1075" i="2" s="1"/>
  <c r="C1075" i="2"/>
  <c r="D1075" i="2"/>
  <c r="E1075" i="2"/>
  <c r="F1075" i="2"/>
  <c r="G1075" i="2"/>
  <c r="H1075" i="2"/>
  <c r="I1075" i="2"/>
  <c r="J1075" i="2"/>
  <c r="A1076" i="2"/>
  <c r="A1077" i="2" s="1"/>
  <c r="B1076" i="2"/>
  <c r="C1076" i="2"/>
  <c r="D1076" i="2"/>
  <c r="E1076" i="2"/>
  <c r="F1076" i="2"/>
  <c r="G1076" i="2"/>
  <c r="H1076" i="2"/>
  <c r="I1076" i="2"/>
  <c r="J1076" i="2"/>
  <c r="C1077" i="2"/>
  <c r="D1077" i="2"/>
  <c r="E1077" i="2"/>
  <c r="F1077" i="2"/>
  <c r="G1077" i="2"/>
  <c r="H1077" i="2"/>
  <c r="I1077" i="2"/>
  <c r="J1077" i="2"/>
  <c r="C1078" i="2"/>
  <c r="D1078" i="2"/>
  <c r="E1078" i="2"/>
  <c r="F1078" i="2"/>
  <c r="G1078" i="2"/>
  <c r="H1078" i="2"/>
  <c r="I1078" i="2"/>
  <c r="J1078" i="2"/>
  <c r="C1079" i="2"/>
  <c r="D1079" i="2"/>
  <c r="E1079" i="2"/>
  <c r="F1079" i="2"/>
  <c r="G1079" i="2"/>
  <c r="H1079" i="2"/>
  <c r="I1079" i="2"/>
  <c r="J1079" i="2"/>
  <c r="C1080" i="2"/>
  <c r="D1080" i="2"/>
  <c r="E1080" i="2"/>
  <c r="F1080" i="2"/>
  <c r="G1080" i="2"/>
  <c r="H1080" i="2"/>
  <c r="I1080" i="2"/>
  <c r="J1080" i="2"/>
  <c r="C1081" i="2"/>
  <c r="D1081" i="2"/>
  <c r="E1081" i="2"/>
  <c r="F1081" i="2"/>
  <c r="G1081" i="2"/>
  <c r="H1081" i="2"/>
  <c r="I1081" i="2"/>
  <c r="J1081" i="2"/>
  <c r="C1082" i="2"/>
  <c r="D1082" i="2"/>
  <c r="E1082" i="2"/>
  <c r="F1082" i="2"/>
  <c r="G1082" i="2"/>
  <c r="H1082" i="2"/>
  <c r="I1082" i="2"/>
  <c r="J1082" i="2"/>
  <c r="C1083" i="2"/>
  <c r="D1083" i="2"/>
  <c r="E1083" i="2"/>
  <c r="F1083" i="2"/>
  <c r="G1083" i="2"/>
  <c r="H1083" i="2"/>
  <c r="I1083" i="2"/>
  <c r="J1083" i="2"/>
  <c r="C1084" i="2"/>
  <c r="D1084" i="2"/>
  <c r="E1084" i="2"/>
  <c r="F1084" i="2"/>
  <c r="G1084" i="2"/>
  <c r="H1084" i="2"/>
  <c r="I1084" i="2"/>
  <c r="J1084" i="2"/>
  <c r="C1085" i="2"/>
  <c r="D1085" i="2"/>
  <c r="E1085" i="2"/>
  <c r="F1085" i="2"/>
  <c r="G1085" i="2"/>
  <c r="H1085" i="2"/>
  <c r="I1085" i="2"/>
  <c r="J1085" i="2"/>
  <c r="C1086" i="2"/>
  <c r="D1086" i="2"/>
  <c r="E1086" i="2"/>
  <c r="F1086" i="2"/>
  <c r="G1086" i="2"/>
  <c r="H1086" i="2"/>
  <c r="I1086" i="2"/>
  <c r="J1086" i="2"/>
  <c r="C1087" i="2"/>
  <c r="D1087" i="2"/>
  <c r="E1087" i="2"/>
  <c r="F1087" i="2"/>
  <c r="G1087" i="2"/>
  <c r="H1087" i="2"/>
  <c r="I1087" i="2"/>
  <c r="J1087" i="2"/>
  <c r="C1088" i="2"/>
  <c r="D1088" i="2"/>
  <c r="E1088" i="2"/>
  <c r="F1088" i="2"/>
  <c r="G1088" i="2"/>
  <c r="H1088" i="2"/>
  <c r="I1088" i="2"/>
  <c r="J1088" i="2"/>
  <c r="C1089" i="2"/>
  <c r="D1089" i="2"/>
  <c r="E1089" i="2"/>
  <c r="F1089" i="2"/>
  <c r="G1089" i="2"/>
  <c r="H1089" i="2"/>
  <c r="I1089" i="2"/>
  <c r="J1089" i="2"/>
  <c r="C1090" i="2"/>
  <c r="D1090" i="2"/>
  <c r="E1090" i="2"/>
  <c r="F1090" i="2"/>
  <c r="G1090" i="2"/>
  <c r="H1090" i="2"/>
  <c r="I1090" i="2"/>
  <c r="J1090" i="2"/>
  <c r="C1091" i="2"/>
  <c r="D1091" i="2"/>
  <c r="E1091" i="2"/>
  <c r="F1091" i="2"/>
  <c r="G1091" i="2"/>
  <c r="H1091" i="2"/>
  <c r="I1091" i="2"/>
  <c r="J1091" i="2"/>
  <c r="C1092" i="2"/>
  <c r="D1092" i="2"/>
  <c r="E1092" i="2"/>
  <c r="F1092" i="2"/>
  <c r="G1092" i="2"/>
  <c r="H1092" i="2"/>
  <c r="I1092" i="2"/>
  <c r="J1092" i="2"/>
  <c r="C1093" i="2"/>
  <c r="D1093" i="2"/>
  <c r="E1093" i="2"/>
  <c r="F1093" i="2"/>
  <c r="G1093" i="2"/>
  <c r="H1093" i="2"/>
  <c r="I1093" i="2"/>
  <c r="J1093" i="2"/>
  <c r="C1094" i="2"/>
  <c r="D1094" i="2"/>
  <c r="E1094" i="2"/>
  <c r="F1094" i="2"/>
  <c r="G1094" i="2"/>
  <c r="H1094" i="2"/>
  <c r="I1094" i="2"/>
  <c r="J1094" i="2"/>
  <c r="C1095" i="2"/>
  <c r="D1095" i="2"/>
  <c r="E1095" i="2"/>
  <c r="F1095" i="2"/>
  <c r="G1095" i="2"/>
  <c r="H1095" i="2"/>
  <c r="I1095" i="2"/>
  <c r="J1095" i="2"/>
  <c r="C1096" i="2"/>
  <c r="D1096" i="2"/>
  <c r="E1096" i="2"/>
  <c r="F1096" i="2"/>
  <c r="G1096" i="2"/>
  <c r="H1096" i="2"/>
  <c r="I1096" i="2"/>
  <c r="J1096" i="2"/>
  <c r="D11" i="1"/>
  <c r="F11" i="1"/>
  <c r="B17" i="1"/>
  <c r="C17" i="1"/>
  <c r="D17" i="1"/>
  <c r="E17" i="1"/>
  <c r="F17" i="1"/>
  <c r="G17" i="1"/>
  <c r="H17" i="1"/>
  <c r="I17" i="1"/>
  <c r="J17" i="1"/>
  <c r="K17" i="1"/>
  <c r="R17" i="1"/>
  <c r="B18" i="1"/>
  <c r="C18" i="1"/>
  <c r="D18" i="1"/>
  <c r="E18" i="1"/>
  <c r="F18" i="1"/>
  <c r="G18" i="1"/>
  <c r="H18" i="1"/>
  <c r="I18" i="1"/>
  <c r="J18" i="1"/>
  <c r="K18" i="1"/>
  <c r="R18" i="1"/>
  <c r="B19" i="1"/>
  <c r="C19" i="1"/>
  <c r="D19" i="1"/>
  <c r="E19" i="1"/>
  <c r="F19" i="1"/>
  <c r="G19" i="1"/>
  <c r="H19" i="1"/>
  <c r="I19" i="1"/>
  <c r="J19" i="1"/>
  <c r="K19" i="1"/>
  <c r="R19" i="1"/>
  <c r="B20" i="1"/>
  <c r="C20" i="1"/>
  <c r="D20" i="1"/>
  <c r="E20" i="1"/>
  <c r="F20" i="1"/>
  <c r="G20" i="1"/>
  <c r="H20" i="1"/>
  <c r="I20" i="1"/>
  <c r="J20" i="1"/>
  <c r="K20" i="1"/>
  <c r="R20" i="1"/>
  <c r="B21" i="1"/>
  <c r="C21" i="1"/>
  <c r="D21" i="1"/>
  <c r="E21" i="1"/>
  <c r="F21" i="1"/>
  <c r="G21" i="1"/>
  <c r="H21" i="1"/>
  <c r="I21" i="1"/>
  <c r="J21" i="1"/>
  <c r="K21" i="1"/>
  <c r="R21" i="1"/>
  <c r="B22" i="1"/>
  <c r="C22" i="1"/>
  <c r="D22" i="1"/>
  <c r="E22" i="1"/>
  <c r="F22" i="1"/>
  <c r="G22" i="1"/>
  <c r="H22" i="1"/>
  <c r="I22" i="1"/>
  <c r="J22" i="1"/>
  <c r="K22" i="1"/>
  <c r="R22" i="1"/>
  <c r="B23" i="1"/>
  <c r="C23" i="1"/>
  <c r="D23" i="1"/>
  <c r="E23" i="1"/>
  <c r="F23" i="1"/>
  <c r="G23" i="1"/>
  <c r="H23" i="1"/>
  <c r="I23" i="1"/>
  <c r="J23" i="1"/>
  <c r="K23" i="1"/>
  <c r="R23" i="1"/>
  <c r="B24" i="1"/>
  <c r="C24" i="1"/>
  <c r="D24" i="1"/>
  <c r="E24" i="1"/>
  <c r="F24" i="1"/>
  <c r="G24" i="1"/>
  <c r="H24" i="1"/>
  <c r="I24" i="1"/>
  <c r="J24" i="1"/>
  <c r="K24" i="1"/>
  <c r="R24" i="1"/>
  <c r="B25" i="1"/>
  <c r="C25" i="1"/>
  <c r="D25" i="1"/>
  <c r="E25" i="1"/>
  <c r="F25" i="1"/>
  <c r="G25" i="1"/>
  <c r="H25" i="1"/>
  <c r="I25" i="1"/>
  <c r="J25" i="1"/>
  <c r="K25" i="1"/>
  <c r="R25" i="1"/>
  <c r="B26" i="1"/>
  <c r="C26" i="1"/>
  <c r="D26" i="1"/>
  <c r="E26" i="1"/>
  <c r="F26" i="1"/>
  <c r="G26" i="1"/>
  <c r="H26" i="1"/>
  <c r="I26" i="1"/>
  <c r="J26" i="1"/>
  <c r="K26" i="1"/>
  <c r="R26" i="1"/>
  <c r="B27" i="1"/>
  <c r="C27" i="1"/>
  <c r="D27" i="1"/>
  <c r="E27" i="1"/>
  <c r="F27" i="1"/>
  <c r="G27" i="1"/>
  <c r="H27" i="1"/>
  <c r="I27" i="1"/>
  <c r="J27" i="1"/>
  <c r="K27" i="1"/>
  <c r="R27" i="1"/>
  <c r="B28" i="1"/>
  <c r="C28" i="1"/>
  <c r="D28" i="1"/>
  <c r="E28" i="1"/>
  <c r="F28" i="1"/>
  <c r="G28" i="1"/>
  <c r="H28" i="1"/>
  <c r="I28" i="1"/>
  <c r="J28" i="1"/>
  <c r="K28" i="1"/>
  <c r="R28" i="1"/>
  <c r="B29" i="1"/>
  <c r="C29" i="1"/>
  <c r="D29" i="1"/>
  <c r="E29" i="1"/>
  <c r="F29" i="1"/>
  <c r="G29" i="1"/>
  <c r="H29" i="1"/>
  <c r="I29" i="1"/>
  <c r="J29" i="1"/>
  <c r="R29" i="1"/>
  <c r="B30" i="1"/>
  <c r="C30" i="1"/>
  <c r="D30" i="1"/>
  <c r="E30" i="1"/>
  <c r="F30" i="1"/>
  <c r="G30" i="1"/>
  <c r="H30" i="1"/>
  <c r="I30" i="1"/>
  <c r="J30" i="1"/>
  <c r="R30" i="1"/>
  <c r="B31" i="1"/>
  <c r="C31" i="1"/>
  <c r="D31" i="1"/>
  <c r="E31" i="1"/>
  <c r="F31" i="1"/>
  <c r="G31" i="1"/>
  <c r="H31" i="1"/>
  <c r="I31" i="1"/>
  <c r="J31" i="1"/>
  <c r="R31" i="1"/>
  <c r="B32" i="1"/>
  <c r="C32" i="1"/>
  <c r="D32" i="1"/>
  <c r="E32" i="1"/>
  <c r="F32" i="1"/>
  <c r="G32" i="1"/>
  <c r="H32" i="1"/>
  <c r="I32" i="1"/>
  <c r="J32" i="1"/>
  <c r="R32" i="1"/>
  <c r="B33" i="1"/>
  <c r="C33" i="1"/>
  <c r="D33" i="1"/>
  <c r="E33" i="1"/>
  <c r="F33" i="1"/>
  <c r="G33" i="1"/>
  <c r="H33" i="1"/>
  <c r="I33" i="1"/>
  <c r="J33" i="1"/>
  <c r="R33" i="1"/>
  <c r="B34" i="1"/>
  <c r="C34" i="1"/>
  <c r="D34" i="1"/>
  <c r="E34" i="1"/>
  <c r="F34" i="1"/>
  <c r="G34" i="1"/>
  <c r="H34" i="1"/>
  <c r="I34" i="1"/>
  <c r="J34" i="1"/>
  <c r="R34" i="1"/>
  <c r="B35" i="1"/>
  <c r="C35" i="1"/>
  <c r="D35" i="1"/>
  <c r="E35" i="1"/>
  <c r="F35" i="1"/>
  <c r="G35" i="1"/>
  <c r="H35" i="1"/>
  <c r="I35" i="1"/>
  <c r="J35" i="1"/>
  <c r="R35" i="1"/>
  <c r="B36" i="1"/>
  <c r="C36" i="1"/>
  <c r="D36" i="1"/>
  <c r="E36" i="1"/>
  <c r="F36" i="1"/>
  <c r="G36" i="1"/>
  <c r="H36" i="1"/>
  <c r="I36" i="1"/>
  <c r="J36" i="1"/>
  <c r="R36" i="1"/>
  <c r="B37" i="1"/>
  <c r="C37" i="1"/>
  <c r="D37" i="1"/>
  <c r="E37" i="1"/>
  <c r="F37" i="1"/>
  <c r="G37" i="1"/>
  <c r="H37" i="1"/>
  <c r="I37" i="1"/>
  <c r="J37" i="1"/>
  <c r="R37" i="1"/>
  <c r="B38" i="1"/>
  <c r="C38" i="1"/>
  <c r="D38" i="1"/>
  <c r="E38" i="1"/>
  <c r="F38" i="1"/>
  <c r="G38" i="1"/>
  <c r="H38" i="1"/>
  <c r="I38" i="1"/>
  <c r="J38" i="1"/>
  <c r="R38" i="1"/>
  <c r="B39" i="1"/>
  <c r="C39" i="1"/>
  <c r="D39" i="1"/>
  <c r="E39" i="1"/>
  <c r="F39" i="1"/>
  <c r="G39" i="1"/>
  <c r="H39" i="1"/>
  <c r="I39" i="1"/>
  <c r="J39" i="1"/>
  <c r="R39" i="1"/>
  <c r="B40" i="1"/>
  <c r="C40" i="1"/>
  <c r="D40" i="1"/>
  <c r="E40" i="1"/>
  <c r="F40" i="1"/>
  <c r="G40" i="1"/>
  <c r="H40" i="1"/>
  <c r="I40" i="1"/>
  <c r="J40" i="1"/>
  <c r="R40" i="1"/>
  <c r="B41" i="1"/>
  <c r="C41" i="1"/>
  <c r="D41" i="1"/>
  <c r="E41" i="1"/>
  <c r="F41" i="1"/>
  <c r="G41" i="1"/>
  <c r="H41" i="1"/>
  <c r="I41" i="1"/>
  <c r="J41" i="1"/>
  <c r="R41" i="1"/>
  <c r="B42" i="1"/>
  <c r="C42" i="1"/>
  <c r="D42" i="1"/>
  <c r="E42" i="1"/>
  <c r="F42" i="1"/>
  <c r="G42" i="1"/>
  <c r="H42" i="1"/>
  <c r="I42" i="1"/>
  <c r="J42" i="1"/>
  <c r="R42" i="1"/>
  <c r="B43" i="1"/>
  <c r="C43" i="1"/>
  <c r="D43" i="1"/>
  <c r="E43" i="1"/>
  <c r="F43" i="1"/>
  <c r="G43" i="1"/>
  <c r="H43" i="1"/>
  <c r="I43" i="1"/>
  <c r="J43" i="1"/>
  <c r="R43" i="1"/>
  <c r="B44" i="1"/>
  <c r="C44" i="1"/>
  <c r="D44" i="1"/>
  <c r="E44" i="1"/>
  <c r="F44" i="1"/>
  <c r="G44" i="1"/>
  <c r="H44" i="1"/>
  <c r="I44" i="1"/>
  <c r="J44" i="1"/>
  <c r="R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F1052" i="1" s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E256" i="1"/>
  <c r="F256" i="1"/>
  <c r="G256" i="1"/>
  <c r="H256" i="1"/>
  <c r="I256" i="1"/>
  <c r="J256" i="1"/>
  <c r="B257" i="1"/>
  <c r="C257" i="1"/>
  <c r="D257" i="1"/>
  <c r="E257" i="1"/>
  <c r="F257" i="1"/>
  <c r="G257" i="1"/>
  <c r="H257" i="1"/>
  <c r="I257" i="1"/>
  <c r="J257" i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B273" i="1"/>
  <c r="C273" i="1"/>
  <c r="D273" i="1"/>
  <c r="E273" i="1"/>
  <c r="F273" i="1"/>
  <c r="G273" i="1"/>
  <c r="H273" i="1"/>
  <c r="I273" i="1"/>
  <c r="J273" i="1"/>
  <c r="B274" i="1"/>
  <c r="C274" i="1"/>
  <c r="D274" i="1"/>
  <c r="E274" i="1"/>
  <c r="F274" i="1"/>
  <c r="G274" i="1"/>
  <c r="H274" i="1"/>
  <c r="I274" i="1"/>
  <c r="J274" i="1"/>
  <c r="B275" i="1"/>
  <c r="C275" i="1"/>
  <c r="D275" i="1"/>
  <c r="E275" i="1"/>
  <c r="F275" i="1"/>
  <c r="G275" i="1"/>
  <c r="H275" i="1"/>
  <c r="I275" i="1"/>
  <c r="J275" i="1"/>
  <c r="B276" i="1"/>
  <c r="C276" i="1"/>
  <c r="D276" i="1"/>
  <c r="E276" i="1"/>
  <c r="F276" i="1"/>
  <c r="G276" i="1"/>
  <c r="H276" i="1"/>
  <c r="I276" i="1"/>
  <c r="J276" i="1"/>
  <c r="B277" i="1"/>
  <c r="C277" i="1"/>
  <c r="D277" i="1"/>
  <c r="E277" i="1"/>
  <c r="F277" i="1"/>
  <c r="G277" i="1"/>
  <c r="H277" i="1"/>
  <c r="I277" i="1"/>
  <c r="J277" i="1"/>
  <c r="B278" i="1"/>
  <c r="C278" i="1"/>
  <c r="D278" i="1"/>
  <c r="E278" i="1"/>
  <c r="F278" i="1"/>
  <c r="G278" i="1"/>
  <c r="H278" i="1"/>
  <c r="I278" i="1"/>
  <c r="J278" i="1"/>
  <c r="B279" i="1"/>
  <c r="C279" i="1"/>
  <c r="D279" i="1"/>
  <c r="E279" i="1"/>
  <c r="F279" i="1"/>
  <c r="G279" i="1"/>
  <c r="H279" i="1"/>
  <c r="I279" i="1"/>
  <c r="J279" i="1"/>
  <c r="B280" i="1"/>
  <c r="C280" i="1"/>
  <c r="D280" i="1"/>
  <c r="E280" i="1"/>
  <c r="F280" i="1"/>
  <c r="G280" i="1"/>
  <c r="H280" i="1"/>
  <c r="I280" i="1"/>
  <c r="J280" i="1"/>
  <c r="B281" i="1"/>
  <c r="C281" i="1"/>
  <c r="D281" i="1"/>
  <c r="E281" i="1"/>
  <c r="F281" i="1"/>
  <c r="G281" i="1"/>
  <c r="H281" i="1"/>
  <c r="I281" i="1"/>
  <c r="J281" i="1"/>
  <c r="B282" i="1"/>
  <c r="C282" i="1"/>
  <c r="D282" i="1"/>
  <c r="E282" i="1"/>
  <c r="F282" i="1"/>
  <c r="G282" i="1"/>
  <c r="H282" i="1"/>
  <c r="I282" i="1"/>
  <c r="J282" i="1"/>
  <c r="B283" i="1"/>
  <c r="C283" i="1"/>
  <c r="D283" i="1"/>
  <c r="E283" i="1"/>
  <c r="F283" i="1"/>
  <c r="G283" i="1"/>
  <c r="H283" i="1"/>
  <c r="I283" i="1"/>
  <c r="J283" i="1"/>
  <c r="B284" i="1"/>
  <c r="C284" i="1"/>
  <c r="D284" i="1"/>
  <c r="E284" i="1"/>
  <c r="F284" i="1"/>
  <c r="G284" i="1"/>
  <c r="H284" i="1"/>
  <c r="I284" i="1"/>
  <c r="J284" i="1"/>
  <c r="B285" i="1"/>
  <c r="C285" i="1"/>
  <c r="D285" i="1"/>
  <c r="E285" i="1"/>
  <c r="F285" i="1"/>
  <c r="G285" i="1"/>
  <c r="H285" i="1"/>
  <c r="I285" i="1"/>
  <c r="J285" i="1"/>
  <c r="B286" i="1"/>
  <c r="C286" i="1"/>
  <c r="D286" i="1"/>
  <c r="E286" i="1"/>
  <c r="F286" i="1"/>
  <c r="G286" i="1"/>
  <c r="H286" i="1"/>
  <c r="I286" i="1"/>
  <c r="J286" i="1"/>
  <c r="B287" i="1"/>
  <c r="C287" i="1"/>
  <c r="D287" i="1"/>
  <c r="E287" i="1"/>
  <c r="F287" i="1"/>
  <c r="G287" i="1"/>
  <c r="H287" i="1"/>
  <c r="I287" i="1"/>
  <c r="J287" i="1"/>
  <c r="B288" i="1"/>
  <c r="C288" i="1"/>
  <c r="D288" i="1"/>
  <c r="E288" i="1"/>
  <c r="F288" i="1"/>
  <c r="G288" i="1"/>
  <c r="H288" i="1"/>
  <c r="I288" i="1"/>
  <c r="J288" i="1"/>
  <c r="B289" i="1"/>
  <c r="C289" i="1"/>
  <c r="D289" i="1"/>
  <c r="E289" i="1"/>
  <c r="F289" i="1"/>
  <c r="G289" i="1"/>
  <c r="H289" i="1"/>
  <c r="I289" i="1"/>
  <c r="J289" i="1"/>
  <c r="B290" i="1"/>
  <c r="C290" i="1"/>
  <c r="D290" i="1"/>
  <c r="E290" i="1"/>
  <c r="F290" i="1"/>
  <c r="G290" i="1"/>
  <c r="H290" i="1"/>
  <c r="I290" i="1"/>
  <c r="J290" i="1"/>
  <c r="B291" i="1"/>
  <c r="C291" i="1"/>
  <c r="D291" i="1"/>
  <c r="E291" i="1"/>
  <c r="F291" i="1"/>
  <c r="G291" i="1"/>
  <c r="H291" i="1"/>
  <c r="I291" i="1"/>
  <c r="J291" i="1"/>
  <c r="B292" i="1"/>
  <c r="C292" i="1"/>
  <c r="D292" i="1"/>
  <c r="E292" i="1"/>
  <c r="F292" i="1"/>
  <c r="G292" i="1"/>
  <c r="H292" i="1"/>
  <c r="I292" i="1"/>
  <c r="J292" i="1"/>
  <c r="B293" i="1"/>
  <c r="C293" i="1"/>
  <c r="D293" i="1"/>
  <c r="E293" i="1"/>
  <c r="F293" i="1"/>
  <c r="G293" i="1"/>
  <c r="H293" i="1"/>
  <c r="I293" i="1"/>
  <c r="J293" i="1"/>
  <c r="B294" i="1"/>
  <c r="C294" i="1"/>
  <c r="D294" i="1"/>
  <c r="E294" i="1"/>
  <c r="F294" i="1"/>
  <c r="G294" i="1"/>
  <c r="H294" i="1"/>
  <c r="I294" i="1"/>
  <c r="J294" i="1"/>
  <c r="B295" i="1"/>
  <c r="C295" i="1"/>
  <c r="D295" i="1"/>
  <c r="E295" i="1"/>
  <c r="F295" i="1"/>
  <c r="G295" i="1"/>
  <c r="H295" i="1"/>
  <c r="I295" i="1"/>
  <c r="J295" i="1"/>
  <c r="B296" i="1"/>
  <c r="C296" i="1"/>
  <c r="D296" i="1"/>
  <c r="E296" i="1"/>
  <c r="F296" i="1"/>
  <c r="G296" i="1"/>
  <c r="H296" i="1"/>
  <c r="I296" i="1"/>
  <c r="J296" i="1"/>
  <c r="B297" i="1"/>
  <c r="C297" i="1"/>
  <c r="D297" i="1"/>
  <c r="E297" i="1"/>
  <c r="F297" i="1"/>
  <c r="G297" i="1"/>
  <c r="H297" i="1"/>
  <c r="I297" i="1"/>
  <c r="J297" i="1"/>
  <c r="B298" i="1"/>
  <c r="C298" i="1"/>
  <c r="D298" i="1"/>
  <c r="E298" i="1"/>
  <c r="F298" i="1"/>
  <c r="G298" i="1"/>
  <c r="H298" i="1"/>
  <c r="I298" i="1"/>
  <c r="J298" i="1"/>
  <c r="B299" i="1"/>
  <c r="C299" i="1"/>
  <c r="D299" i="1"/>
  <c r="E299" i="1"/>
  <c r="F299" i="1"/>
  <c r="G299" i="1"/>
  <c r="H299" i="1"/>
  <c r="I299" i="1"/>
  <c r="J299" i="1"/>
  <c r="B300" i="1"/>
  <c r="C300" i="1"/>
  <c r="D300" i="1"/>
  <c r="E300" i="1"/>
  <c r="F300" i="1"/>
  <c r="G300" i="1"/>
  <c r="H300" i="1"/>
  <c r="I300" i="1"/>
  <c r="J300" i="1"/>
  <c r="B301" i="1"/>
  <c r="C301" i="1"/>
  <c r="D301" i="1"/>
  <c r="E301" i="1"/>
  <c r="F301" i="1"/>
  <c r="G301" i="1"/>
  <c r="H301" i="1"/>
  <c r="I301" i="1"/>
  <c r="J301" i="1"/>
  <c r="B302" i="1"/>
  <c r="C302" i="1"/>
  <c r="D302" i="1"/>
  <c r="E302" i="1"/>
  <c r="F302" i="1"/>
  <c r="G302" i="1"/>
  <c r="H302" i="1"/>
  <c r="I302" i="1"/>
  <c r="J302" i="1"/>
  <c r="B303" i="1"/>
  <c r="C303" i="1"/>
  <c r="D303" i="1"/>
  <c r="E303" i="1"/>
  <c r="F303" i="1"/>
  <c r="G303" i="1"/>
  <c r="H303" i="1"/>
  <c r="I303" i="1"/>
  <c r="J303" i="1"/>
  <c r="B304" i="1"/>
  <c r="C304" i="1"/>
  <c r="D304" i="1"/>
  <c r="E304" i="1"/>
  <c r="F304" i="1"/>
  <c r="G304" i="1"/>
  <c r="H304" i="1"/>
  <c r="I304" i="1"/>
  <c r="J304" i="1"/>
  <c r="B305" i="1"/>
  <c r="C305" i="1"/>
  <c r="D305" i="1"/>
  <c r="E305" i="1"/>
  <c r="F305" i="1"/>
  <c r="G305" i="1"/>
  <c r="H305" i="1"/>
  <c r="I305" i="1"/>
  <c r="J305" i="1"/>
  <c r="B306" i="1"/>
  <c r="C306" i="1"/>
  <c r="D306" i="1"/>
  <c r="E306" i="1"/>
  <c r="F306" i="1"/>
  <c r="G306" i="1"/>
  <c r="H306" i="1"/>
  <c r="I306" i="1"/>
  <c r="J306" i="1"/>
  <c r="B307" i="1"/>
  <c r="C307" i="1"/>
  <c r="D307" i="1"/>
  <c r="E307" i="1"/>
  <c r="F307" i="1"/>
  <c r="G307" i="1"/>
  <c r="H307" i="1"/>
  <c r="I307" i="1"/>
  <c r="J307" i="1"/>
  <c r="B308" i="1"/>
  <c r="C308" i="1"/>
  <c r="D308" i="1"/>
  <c r="E308" i="1"/>
  <c r="F308" i="1"/>
  <c r="G308" i="1"/>
  <c r="H308" i="1"/>
  <c r="I308" i="1"/>
  <c r="J308" i="1"/>
  <c r="B309" i="1"/>
  <c r="C309" i="1"/>
  <c r="D309" i="1"/>
  <c r="E309" i="1"/>
  <c r="F309" i="1"/>
  <c r="G309" i="1"/>
  <c r="H309" i="1"/>
  <c r="I309" i="1"/>
  <c r="J309" i="1"/>
  <c r="B310" i="1"/>
  <c r="C310" i="1"/>
  <c r="D310" i="1"/>
  <c r="E310" i="1"/>
  <c r="F310" i="1"/>
  <c r="G310" i="1"/>
  <c r="H310" i="1"/>
  <c r="I310" i="1"/>
  <c r="J310" i="1"/>
  <c r="B311" i="1"/>
  <c r="C311" i="1"/>
  <c r="D311" i="1"/>
  <c r="E311" i="1"/>
  <c r="F311" i="1"/>
  <c r="G311" i="1"/>
  <c r="H311" i="1"/>
  <c r="I311" i="1"/>
  <c r="J311" i="1"/>
  <c r="B312" i="1"/>
  <c r="C312" i="1"/>
  <c r="D312" i="1"/>
  <c r="E312" i="1"/>
  <c r="F312" i="1"/>
  <c r="G312" i="1"/>
  <c r="H312" i="1"/>
  <c r="I312" i="1"/>
  <c r="J312" i="1"/>
  <c r="B313" i="1"/>
  <c r="C313" i="1"/>
  <c r="D313" i="1"/>
  <c r="E313" i="1"/>
  <c r="F313" i="1"/>
  <c r="G313" i="1"/>
  <c r="H313" i="1"/>
  <c r="I313" i="1"/>
  <c r="J313" i="1"/>
  <c r="B314" i="1"/>
  <c r="C314" i="1"/>
  <c r="D314" i="1"/>
  <c r="E314" i="1"/>
  <c r="F314" i="1"/>
  <c r="G314" i="1"/>
  <c r="H314" i="1"/>
  <c r="I314" i="1"/>
  <c r="J314" i="1"/>
  <c r="B315" i="1"/>
  <c r="C315" i="1"/>
  <c r="D315" i="1"/>
  <c r="E315" i="1"/>
  <c r="F315" i="1"/>
  <c r="G315" i="1"/>
  <c r="H315" i="1"/>
  <c r="I315" i="1"/>
  <c r="J315" i="1"/>
  <c r="B316" i="1"/>
  <c r="C316" i="1"/>
  <c r="D316" i="1"/>
  <c r="E316" i="1"/>
  <c r="F316" i="1"/>
  <c r="G316" i="1"/>
  <c r="H316" i="1"/>
  <c r="I316" i="1"/>
  <c r="J316" i="1"/>
  <c r="B317" i="1"/>
  <c r="C317" i="1"/>
  <c r="D317" i="1"/>
  <c r="E317" i="1"/>
  <c r="F317" i="1"/>
  <c r="G317" i="1"/>
  <c r="H317" i="1"/>
  <c r="I317" i="1"/>
  <c r="J317" i="1"/>
  <c r="B318" i="1"/>
  <c r="C318" i="1"/>
  <c r="D318" i="1"/>
  <c r="E318" i="1"/>
  <c r="F318" i="1"/>
  <c r="G318" i="1"/>
  <c r="H318" i="1"/>
  <c r="I318" i="1"/>
  <c r="J318" i="1"/>
  <c r="B319" i="1"/>
  <c r="C319" i="1"/>
  <c r="D319" i="1"/>
  <c r="E319" i="1"/>
  <c r="F319" i="1"/>
  <c r="G319" i="1"/>
  <c r="H319" i="1"/>
  <c r="I319" i="1"/>
  <c r="J319" i="1"/>
  <c r="B320" i="1"/>
  <c r="C320" i="1"/>
  <c r="D320" i="1"/>
  <c r="E320" i="1"/>
  <c r="F320" i="1"/>
  <c r="G320" i="1"/>
  <c r="H320" i="1"/>
  <c r="I320" i="1"/>
  <c r="J320" i="1"/>
  <c r="B321" i="1"/>
  <c r="C321" i="1"/>
  <c r="D321" i="1"/>
  <c r="E321" i="1"/>
  <c r="F321" i="1"/>
  <c r="G321" i="1"/>
  <c r="H321" i="1"/>
  <c r="I321" i="1"/>
  <c r="J321" i="1"/>
  <c r="B322" i="1"/>
  <c r="C322" i="1"/>
  <c r="D322" i="1"/>
  <c r="E322" i="1"/>
  <c r="F322" i="1"/>
  <c r="G322" i="1"/>
  <c r="H322" i="1"/>
  <c r="I322" i="1"/>
  <c r="J322" i="1"/>
  <c r="B323" i="1"/>
  <c r="C323" i="1"/>
  <c r="D323" i="1"/>
  <c r="E323" i="1"/>
  <c r="F323" i="1"/>
  <c r="G323" i="1"/>
  <c r="H323" i="1"/>
  <c r="I323" i="1"/>
  <c r="J323" i="1"/>
  <c r="B324" i="1"/>
  <c r="C324" i="1"/>
  <c r="D324" i="1"/>
  <c r="E324" i="1"/>
  <c r="F324" i="1"/>
  <c r="G324" i="1"/>
  <c r="H324" i="1"/>
  <c r="I324" i="1"/>
  <c r="J324" i="1"/>
  <c r="B325" i="1"/>
  <c r="C325" i="1"/>
  <c r="D325" i="1"/>
  <c r="E325" i="1"/>
  <c r="F325" i="1"/>
  <c r="G325" i="1"/>
  <c r="H325" i="1"/>
  <c r="I325" i="1"/>
  <c r="J325" i="1"/>
  <c r="B326" i="1"/>
  <c r="C326" i="1"/>
  <c r="D326" i="1"/>
  <c r="E326" i="1"/>
  <c r="F326" i="1"/>
  <c r="G326" i="1"/>
  <c r="H326" i="1"/>
  <c r="I326" i="1"/>
  <c r="J326" i="1"/>
  <c r="B327" i="1"/>
  <c r="C327" i="1"/>
  <c r="D327" i="1"/>
  <c r="E327" i="1"/>
  <c r="F327" i="1"/>
  <c r="G327" i="1"/>
  <c r="H327" i="1"/>
  <c r="I327" i="1"/>
  <c r="J327" i="1"/>
  <c r="B328" i="1"/>
  <c r="C328" i="1"/>
  <c r="D328" i="1"/>
  <c r="E328" i="1"/>
  <c r="F328" i="1"/>
  <c r="G328" i="1"/>
  <c r="H328" i="1"/>
  <c r="I328" i="1"/>
  <c r="J328" i="1"/>
  <c r="B329" i="1"/>
  <c r="C329" i="1"/>
  <c r="D329" i="1"/>
  <c r="E329" i="1"/>
  <c r="F329" i="1"/>
  <c r="G329" i="1"/>
  <c r="H329" i="1"/>
  <c r="I329" i="1"/>
  <c r="J329" i="1"/>
  <c r="B330" i="1"/>
  <c r="C330" i="1"/>
  <c r="D330" i="1"/>
  <c r="E330" i="1"/>
  <c r="F330" i="1"/>
  <c r="G330" i="1"/>
  <c r="H330" i="1"/>
  <c r="I330" i="1"/>
  <c r="J330" i="1"/>
  <c r="B331" i="1"/>
  <c r="C331" i="1"/>
  <c r="D331" i="1"/>
  <c r="E331" i="1"/>
  <c r="F331" i="1"/>
  <c r="G331" i="1"/>
  <c r="H331" i="1"/>
  <c r="I331" i="1"/>
  <c r="J331" i="1"/>
  <c r="B332" i="1"/>
  <c r="C332" i="1"/>
  <c r="D332" i="1"/>
  <c r="E332" i="1"/>
  <c r="F332" i="1"/>
  <c r="G332" i="1"/>
  <c r="H332" i="1"/>
  <c r="I332" i="1"/>
  <c r="J332" i="1"/>
  <c r="B333" i="1"/>
  <c r="C333" i="1"/>
  <c r="D333" i="1"/>
  <c r="E333" i="1"/>
  <c r="F333" i="1"/>
  <c r="G333" i="1"/>
  <c r="H333" i="1"/>
  <c r="I333" i="1"/>
  <c r="J333" i="1"/>
  <c r="B334" i="1"/>
  <c r="C334" i="1"/>
  <c r="D334" i="1"/>
  <c r="E334" i="1"/>
  <c r="F334" i="1"/>
  <c r="G334" i="1"/>
  <c r="H334" i="1"/>
  <c r="I334" i="1"/>
  <c r="J334" i="1"/>
  <c r="B335" i="1"/>
  <c r="C335" i="1"/>
  <c r="D335" i="1"/>
  <c r="E335" i="1"/>
  <c r="F335" i="1"/>
  <c r="G335" i="1"/>
  <c r="H335" i="1"/>
  <c r="I335" i="1"/>
  <c r="J335" i="1"/>
  <c r="B336" i="1"/>
  <c r="C336" i="1"/>
  <c r="D336" i="1"/>
  <c r="E336" i="1"/>
  <c r="F336" i="1"/>
  <c r="G336" i="1"/>
  <c r="H336" i="1"/>
  <c r="I336" i="1"/>
  <c r="J336" i="1"/>
  <c r="B337" i="1"/>
  <c r="C337" i="1"/>
  <c r="D337" i="1"/>
  <c r="E337" i="1"/>
  <c r="F337" i="1"/>
  <c r="G337" i="1"/>
  <c r="H337" i="1"/>
  <c r="I337" i="1"/>
  <c r="J337" i="1"/>
  <c r="B338" i="1"/>
  <c r="C338" i="1"/>
  <c r="D338" i="1"/>
  <c r="E338" i="1"/>
  <c r="F338" i="1"/>
  <c r="G338" i="1"/>
  <c r="H338" i="1"/>
  <c r="I338" i="1"/>
  <c r="J338" i="1"/>
  <c r="B339" i="1"/>
  <c r="C339" i="1"/>
  <c r="D339" i="1"/>
  <c r="E339" i="1"/>
  <c r="F339" i="1"/>
  <c r="G339" i="1"/>
  <c r="H339" i="1"/>
  <c r="I339" i="1"/>
  <c r="J339" i="1"/>
  <c r="B340" i="1"/>
  <c r="C340" i="1"/>
  <c r="D340" i="1"/>
  <c r="E340" i="1"/>
  <c r="F340" i="1"/>
  <c r="G340" i="1"/>
  <c r="H340" i="1"/>
  <c r="I340" i="1"/>
  <c r="J340" i="1"/>
  <c r="B341" i="1"/>
  <c r="C341" i="1"/>
  <c r="D341" i="1"/>
  <c r="E341" i="1"/>
  <c r="F341" i="1"/>
  <c r="G341" i="1"/>
  <c r="H341" i="1"/>
  <c r="I341" i="1"/>
  <c r="J341" i="1"/>
  <c r="B342" i="1"/>
  <c r="C342" i="1"/>
  <c r="D342" i="1"/>
  <c r="E342" i="1"/>
  <c r="F342" i="1"/>
  <c r="G342" i="1"/>
  <c r="H342" i="1"/>
  <c r="I342" i="1"/>
  <c r="J342" i="1"/>
  <c r="B343" i="1"/>
  <c r="C343" i="1"/>
  <c r="D343" i="1"/>
  <c r="E343" i="1"/>
  <c r="F343" i="1"/>
  <c r="G343" i="1"/>
  <c r="H343" i="1"/>
  <c r="I343" i="1"/>
  <c r="J343" i="1"/>
  <c r="B344" i="1"/>
  <c r="C344" i="1"/>
  <c r="D344" i="1"/>
  <c r="E344" i="1"/>
  <c r="F344" i="1"/>
  <c r="G344" i="1"/>
  <c r="H344" i="1"/>
  <c r="I344" i="1"/>
  <c r="J344" i="1"/>
  <c r="B345" i="1"/>
  <c r="C345" i="1"/>
  <c r="D345" i="1"/>
  <c r="E345" i="1"/>
  <c r="F345" i="1"/>
  <c r="G345" i="1"/>
  <c r="H345" i="1"/>
  <c r="I345" i="1"/>
  <c r="J345" i="1"/>
  <c r="B346" i="1"/>
  <c r="C346" i="1"/>
  <c r="D346" i="1"/>
  <c r="E346" i="1"/>
  <c r="F346" i="1"/>
  <c r="G346" i="1"/>
  <c r="H346" i="1"/>
  <c r="I346" i="1"/>
  <c r="J346" i="1"/>
  <c r="B347" i="1"/>
  <c r="C347" i="1"/>
  <c r="D347" i="1"/>
  <c r="E347" i="1"/>
  <c r="F347" i="1"/>
  <c r="G347" i="1"/>
  <c r="H347" i="1"/>
  <c r="I347" i="1"/>
  <c r="J347" i="1"/>
  <c r="B348" i="1"/>
  <c r="C348" i="1"/>
  <c r="D348" i="1"/>
  <c r="E348" i="1"/>
  <c r="F348" i="1"/>
  <c r="G348" i="1"/>
  <c r="H348" i="1"/>
  <c r="I348" i="1"/>
  <c r="J348" i="1"/>
  <c r="B349" i="1"/>
  <c r="C349" i="1"/>
  <c r="D349" i="1"/>
  <c r="E349" i="1"/>
  <c r="F349" i="1"/>
  <c r="G349" i="1"/>
  <c r="H349" i="1"/>
  <c r="I349" i="1"/>
  <c r="J349" i="1"/>
  <c r="B350" i="1"/>
  <c r="C350" i="1"/>
  <c r="D350" i="1"/>
  <c r="E350" i="1"/>
  <c r="F350" i="1"/>
  <c r="G350" i="1"/>
  <c r="H350" i="1"/>
  <c r="I350" i="1"/>
  <c r="J350" i="1"/>
  <c r="B351" i="1"/>
  <c r="C351" i="1"/>
  <c r="D351" i="1"/>
  <c r="E351" i="1"/>
  <c r="F351" i="1"/>
  <c r="G351" i="1"/>
  <c r="H351" i="1"/>
  <c r="I351" i="1"/>
  <c r="J351" i="1"/>
  <c r="B352" i="1"/>
  <c r="C352" i="1"/>
  <c r="D352" i="1"/>
  <c r="E352" i="1"/>
  <c r="F352" i="1"/>
  <c r="G352" i="1"/>
  <c r="H352" i="1"/>
  <c r="I352" i="1"/>
  <c r="J352" i="1"/>
  <c r="B353" i="1"/>
  <c r="C353" i="1"/>
  <c r="D353" i="1"/>
  <c r="E353" i="1"/>
  <c r="F353" i="1"/>
  <c r="G353" i="1"/>
  <c r="H353" i="1"/>
  <c r="I353" i="1"/>
  <c r="J353" i="1"/>
  <c r="B354" i="1"/>
  <c r="C354" i="1"/>
  <c r="D354" i="1"/>
  <c r="E354" i="1"/>
  <c r="F354" i="1"/>
  <c r="G354" i="1"/>
  <c r="H354" i="1"/>
  <c r="I354" i="1"/>
  <c r="J354" i="1"/>
  <c r="B355" i="1"/>
  <c r="C355" i="1"/>
  <c r="D355" i="1"/>
  <c r="E355" i="1"/>
  <c r="F355" i="1"/>
  <c r="G355" i="1"/>
  <c r="H355" i="1"/>
  <c r="I355" i="1"/>
  <c r="J355" i="1"/>
  <c r="B356" i="1"/>
  <c r="C356" i="1"/>
  <c r="D356" i="1"/>
  <c r="E356" i="1"/>
  <c r="F356" i="1"/>
  <c r="G356" i="1"/>
  <c r="H356" i="1"/>
  <c r="I356" i="1"/>
  <c r="J356" i="1"/>
  <c r="B357" i="1"/>
  <c r="C357" i="1"/>
  <c r="D357" i="1"/>
  <c r="E357" i="1"/>
  <c r="F357" i="1"/>
  <c r="G357" i="1"/>
  <c r="H357" i="1"/>
  <c r="I357" i="1"/>
  <c r="J357" i="1"/>
  <c r="B358" i="1"/>
  <c r="C358" i="1"/>
  <c r="D358" i="1"/>
  <c r="E358" i="1"/>
  <c r="F358" i="1"/>
  <c r="G358" i="1"/>
  <c r="H358" i="1"/>
  <c r="I358" i="1"/>
  <c r="J358" i="1"/>
  <c r="B359" i="1"/>
  <c r="C359" i="1"/>
  <c r="D359" i="1"/>
  <c r="E359" i="1"/>
  <c r="F359" i="1"/>
  <c r="G359" i="1"/>
  <c r="H359" i="1"/>
  <c r="I359" i="1"/>
  <c r="J359" i="1"/>
  <c r="B360" i="1"/>
  <c r="C360" i="1"/>
  <c r="D360" i="1"/>
  <c r="E360" i="1"/>
  <c r="F360" i="1"/>
  <c r="G360" i="1"/>
  <c r="H360" i="1"/>
  <c r="I360" i="1"/>
  <c r="J360" i="1"/>
  <c r="B361" i="1"/>
  <c r="C361" i="1"/>
  <c r="D361" i="1"/>
  <c r="E361" i="1"/>
  <c r="F361" i="1"/>
  <c r="G361" i="1"/>
  <c r="H361" i="1"/>
  <c r="I361" i="1"/>
  <c r="J361" i="1"/>
  <c r="B362" i="1"/>
  <c r="C362" i="1"/>
  <c r="D362" i="1"/>
  <c r="E362" i="1"/>
  <c r="F362" i="1"/>
  <c r="G362" i="1"/>
  <c r="H362" i="1"/>
  <c r="I362" i="1"/>
  <c r="J362" i="1"/>
  <c r="B363" i="1"/>
  <c r="C363" i="1"/>
  <c r="D363" i="1"/>
  <c r="E363" i="1"/>
  <c r="F363" i="1"/>
  <c r="G363" i="1"/>
  <c r="H363" i="1"/>
  <c r="I363" i="1"/>
  <c r="J363" i="1"/>
  <c r="B364" i="1"/>
  <c r="C364" i="1"/>
  <c r="D364" i="1"/>
  <c r="E364" i="1"/>
  <c r="F364" i="1"/>
  <c r="G364" i="1"/>
  <c r="H364" i="1"/>
  <c r="I364" i="1"/>
  <c r="J364" i="1"/>
  <c r="B365" i="1"/>
  <c r="C365" i="1"/>
  <c r="D365" i="1"/>
  <c r="E365" i="1"/>
  <c r="F365" i="1"/>
  <c r="G365" i="1"/>
  <c r="H365" i="1"/>
  <c r="I365" i="1"/>
  <c r="J365" i="1"/>
  <c r="B366" i="1"/>
  <c r="C366" i="1"/>
  <c r="D366" i="1"/>
  <c r="E366" i="1"/>
  <c r="F366" i="1"/>
  <c r="G366" i="1"/>
  <c r="H366" i="1"/>
  <c r="I366" i="1"/>
  <c r="J366" i="1"/>
  <c r="B367" i="1"/>
  <c r="C367" i="1"/>
  <c r="D367" i="1"/>
  <c r="E367" i="1"/>
  <c r="F367" i="1"/>
  <c r="G367" i="1"/>
  <c r="H367" i="1"/>
  <c r="I367" i="1"/>
  <c r="J367" i="1"/>
  <c r="B368" i="1"/>
  <c r="C368" i="1"/>
  <c r="D368" i="1"/>
  <c r="E368" i="1"/>
  <c r="F368" i="1"/>
  <c r="G368" i="1"/>
  <c r="H368" i="1"/>
  <c r="I368" i="1"/>
  <c r="J368" i="1"/>
  <c r="B369" i="1"/>
  <c r="C369" i="1"/>
  <c r="D369" i="1"/>
  <c r="E369" i="1"/>
  <c r="F369" i="1"/>
  <c r="G369" i="1"/>
  <c r="H369" i="1"/>
  <c r="I369" i="1"/>
  <c r="J369" i="1"/>
  <c r="B370" i="1"/>
  <c r="C370" i="1"/>
  <c r="D370" i="1"/>
  <c r="E370" i="1"/>
  <c r="F370" i="1"/>
  <c r="G370" i="1"/>
  <c r="H370" i="1"/>
  <c r="I370" i="1"/>
  <c r="J370" i="1"/>
  <c r="B371" i="1"/>
  <c r="C371" i="1"/>
  <c r="D371" i="1"/>
  <c r="E371" i="1"/>
  <c r="F371" i="1"/>
  <c r="G371" i="1"/>
  <c r="H371" i="1"/>
  <c r="I371" i="1"/>
  <c r="J371" i="1"/>
  <c r="B372" i="1"/>
  <c r="C372" i="1"/>
  <c r="D372" i="1"/>
  <c r="E372" i="1"/>
  <c r="F372" i="1"/>
  <c r="G372" i="1"/>
  <c r="H372" i="1"/>
  <c r="I372" i="1"/>
  <c r="J372" i="1"/>
  <c r="B373" i="1"/>
  <c r="C373" i="1"/>
  <c r="D373" i="1"/>
  <c r="E373" i="1"/>
  <c r="F373" i="1"/>
  <c r="G373" i="1"/>
  <c r="H373" i="1"/>
  <c r="I373" i="1"/>
  <c r="J373" i="1"/>
  <c r="B374" i="1"/>
  <c r="C374" i="1"/>
  <c r="D374" i="1"/>
  <c r="E374" i="1"/>
  <c r="F374" i="1"/>
  <c r="G374" i="1"/>
  <c r="H374" i="1"/>
  <c r="I374" i="1"/>
  <c r="J374" i="1"/>
  <c r="B375" i="1"/>
  <c r="C375" i="1"/>
  <c r="D375" i="1"/>
  <c r="E375" i="1"/>
  <c r="F375" i="1"/>
  <c r="G375" i="1"/>
  <c r="H375" i="1"/>
  <c r="I375" i="1"/>
  <c r="J375" i="1"/>
  <c r="B376" i="1"/>
  <c r="C376" i="1"/>
  <c r="D376" i="1"/>
  <c r="E376" i="1"/>
  <c r="F376" i="1"/>
  <c r="G376" i="1"/>
  <c r="H376" i="1"/>
  <c r="I376" i="1"/>
  <c r="J376" i="1"/>
  <c r="B377" i="1"/>
  <c r="C377" i="1"/>
  <c r="D377" i="1"/>
  <c r="E377" i="1"/>
  <c r="F377" i="1"/>
  <c r="G377" i="1"/>
  <c r="H377" i="1"/>
  <c r="I377" i="1"/>
  <c r="J377" i="1"/>
  <c r="B378" i="1"/>
  <c r="C378" i="1"/>
  <c r="D378" i="1"/>
  <c r="E378" i="1"/>
  <c r="F378" i="1"/>
  <c r="G378" i="1"/>
  <c r="H378" i="1"/>
  <c r="I378" i="1"/>
  <c r="J378" i="1"/>
  <c r="B379" i="1"/>
  <c r="C379" i="1"/>
  <c r="D379" i="1"/>
  <c r="E379" i="1"/>
  <c r="F379" i="1"/>
  <c r="G379" i="1"/>
  <c r="H379" i="1"/>
  <c r="I379" i="1"/>
  <c r="J379" i="1"/>
  <c r="B380" i="1"/>
  <c r="C380" i="1"/>
  <c r="D380" i="1"/>
  <c r="E380" i="1"/>
  <c r="F380" i="1"/>
  <c r="G380" i="1"/>
  <c r="H380" i="1"/>
  <c r="I380" i="1"/>
  <c r="J380" i="1"/>
  <c r="B381" i="1"/>
  <c r="C381" i="1"/>
  <c r="D381" i="1"/>
  <c r="E381" i="1"/>
  <c r="F381" i="1"/>
  <c r="G381" i="1"/>
  <c r="H381" i="1"/>
  <c r="I381" i="1"/>
  <c r="J381" i="1"/>
  <c r="B382" i="1"/>
  <c r="C382" i="1"/>
  <c r="D382" i="1"/>
  <c r="E382" i="1"/>
  <c r="F382" i="1"/>
  <c r="G382" i="1"/>
  <c r="H382" i="1"/>
  <c r="I382" i="1"/>
  <c r="J382" i="1"/>
  <c r="B383" i="1"/>
  <c r="C383" i="1"/>
  <c r="D383" i="1"/>
  <c r="E383" i="1"/>
  <c r="F383" i="1"/>
  <c r="G383" i="1"/>
  <c r="H383" i="1"/>
  <c r="I383" i="1"/>
  <c r="J383" i="1"/>
  <c r="B384" i="1"/>
  <c r="C384" i="1"/>
  <c r="D384" i="1"/>
  <c r="E384" i="1"/>
  <c r="F384" i="1"/>
  <c r="G384" i="1"/>
  <c r="H384" i="1"/>
  <c r="I384" i="1"/>
  <c r="J384" i="1"/>
  <c r="B385" i="1"/>
  <c r="C385" i="1"/>
  <c r="D385" i="1"/>
  <c r="E385" i="1"/>
  <c r="F385" i="1"/>
  <c r="G385" i="1"/>
  <c r="H385" i="1"/>
  <c r="I385" i="1"/>
  <c r="J385" i="1"/>
  <c r="B386" i="1"/>
  <c r="C386" i="1"/>
  <c r="D386" i="1"/>
  <c r="E386" i="1"/>
  <c r="F386" i="1"/>
  <c r="G386" i="1"/>
  <c r="H386" i="1"/>
  <c r="I386" i="1"/>
  <c r="J386" i="1"/>
  <c r="B387" i="1"/>
  <c r="C387" i="1"/>
  <c r="D387" i="1"/>
  <c r="E387" i="1"/>
  <c r="F387" i="1"/>
  <c r="G387" i="1"/>
  <c r="H387" i="1"/>
  <c r="I387" i="1"/>
  <c r="J387" i="1"/>
  <c r="B388" i="1"/>
  <c r="C388" i="1"/>
  <c r="D388" i="1"/>
  <c r="E388" i="1"/>
  <c r="F388" i="1"/>
  <c r="G388" i="1"/>
  <c r="H388" i="1"/>
  <c r="I388" i="1"/>
  <c r="J388" i="1"/>
  <c r="B389" i="1"/>
  <c r="C389" i="1"/>
  <c r="D389" i="1"/>
  <c r="E389" i="1"/>
  <c r="F389" i="1"/>
  <c r="G389" i="1"/>
  <c r="H389" i="1"/>
  <c r="I389" i="1"/>
  <c r="J389" i="1"/>
  <c r="B390" i="1"/>
  <c r="C390" i="1"/>
  <c r="D390" i="1"/>
  <c r="E390" i="1"/>
  <c r="F390" i="1"/>
  <c r="G390" i="1"/>
  <c r="H390" i="1"/>
  <c r="I390" i="1"/>
  <c r="J390" i="1"/>
  <c r="B391" i="1"/>
  <c r="C391" i="1"/>
  <c r="D391" i="1"/>
  <c r="E391" i="1"/>
  <c r="F391" i="1"/>
  <c r="G391" i="1"/>
  <c r="H391" i="1"/>
  <c r="I391" i="1"/>
  <c r="J391" i="1"/>
  <c r="B392" i="1"/>
  <c r="C392" i="1"/>
  <c r="D392" i="1"/>
  <c r="E392" i="1"/>
  <c r="F392" i="1"/>
  <c r="G392" i="1"/>
  <c r="H392" i="1"/>
  <c r="I392" i="1"/>
  <c r="J392" i="1"/>
  <c r="B393" i="1"/>
  <c r="C393" i="1"/>
  <c r="D393" i="1"/>
  <c r="E393" i="1"/>
  <c r="F393" i="1"/>
  <c r="G393" i="1"/>
  <c r="H393" i="1"/>
  <c r="I393" i="1"/>
  <c r="J393" i="1"/>
  <c r="B394" i="1"/>
  <c r="C394" i="1"/>
  <c r="D394" i="1"/>
  <c r="E394" i="1"/>
  <c r="F394" i="1"/>
  <c r="G394" i="1"/>
  <c r="H394" i="1"/>
  <c r="I394" i="1"/>
  <c r="J394" i="1"/>
  <c r="B395" i="1"/>
  <c r="C395" i="1"/>
  <c r="D395" i="1"/>
  <c r="E395" i="1"/>
  <c r="F395" i="1"/>
  <c r="G395" i="1"/>
  <c r="H395" i="1"/>
  <c r="I395" i="1"/>
  <c r="J395" i="1"/>
  <c r="B396" i="1"/>
  <c r="C396" i="1"/>
  <c r="D396" i="1"/>
  <c r="E396" i="1"/>
  <c r="F396" i="1"/>
  <c r="G396" i="1"/>
  <c r="H396" i="1"/>
  <c r="I396" i="1"/>
  <c r="J396" i="1"/>
  <c r="B397" i="1"/>
  <c r="C397" i="1"/>
  <c r="D397" i="1"/>
  <c r="E397" i="1"/>
  <c r="F397" i="1"/>
  <c r="G397" i="1"/>
  <c r="H397" i="1"/>
  <c r="I397" i="1"/>
  <c r="J397" i="1"/>
  <c r="B398" i="1"/>
  <c r="C398" i="1"/>
  <c r="D398" i="1"/>
  <c r="E398" i="1"/>
  <c r="F398" i="1"/>
  <c r="G398" i="1"/>
  <c r="H398" i="1"/>
  <c r="I398" i="1"/>
  <c r="J398" i="1"/>
  <c r="B399" i="1"/>
  <c r="C399" i="1"/>
  <c r="D399" i="1"/>
  <c r="E399" i="1"/>
  <c r="F399" i="1"/>
  <c r="G399" i="1"/>
  <c r="H399" i="1"/>
  <c r="I399" i="1"/>
  <c r="J399" i="1"/>
  <c r="B400" i="1"/>
  <c r="C400" i="1"/>
  <c r="D400" i="1"/>
  <c r="E400" i="1"/>
  <c r="F400" i="1"/>
  <c r="G400" i="1"/>
  <c r="H400" i="1"/>
  <c r="I400" i="1"/>
  <c r="J400" i="1"/>
  <c r="B401" i="1"/>
  <c r="C401" i="1"/>
  <c r="D401" i="1"/>
  <c r="E401" i="1"/>
  <c r="F401" i="1"/>
  <c r="G401" i="1"/>
  <c r="H401" i="1"/>
  <c r="I401" i="1"/>
  <c r="J401" i="1"/>
  <c r="B402" i="1"/>
  <c r="C402" i="1"/>
  <c r="D402" i="1"/>
  <c r="E402" i="1"/>
  <c r="F402" i="1"/>
  <c r="G402" i="1"/>
  <c r="H402" i="1"/>
  <c r="I402" i="1"/>
  <c r="J402" i="1"/>
  <c r="B403" i="1"/>
  <c r="C403" i="1"/>
  <c r="D403" i="1"/>
  <c r="E403" i="1"/>
  <c r="F403" i="1"/>
  <c r="G403" i="1"/>
  <c r="H403" i="1"/>
  <c r="I403" i="1"/>
  <c r="J403" i="1"/>
  <c r="B404" i="1"/>
  <c r="C404" i="1"/>
  <c r="D404" i="1"/>
  <c r="E404" i="1"/>
  <c r="F404" i="1"/>
  <c r="G404" i="1"/>
  <c r="H404" i="1"/>
  <c r="I404" i="1"/>
  <c r="J404" i="1"/>
  <c r="B405" i="1"/>
  <c r="C405" i="1"/>
  <c r="D405" i="1"/>
  <c r="E405" i="1"/>
  <c r="F405" i="1"/>
  <c r="G405" i="1"/>
  <c r="H405" i="1"/>
  <c r="I405" i="1"/>
  <c r="J405" i="1"/>
  <c r="B406" i="1"/>
  <c r="C406" i="1"/>
  <c r="D406" i="1"/>
  <c r="E406" i="1"/>
  <c r="F406" i="1"/>
  <c r="G406" i="1"/>
  <c r="H406" i="1"/>
  <c r="I406" i="1"/>
  <c r="J406" i="1"/>
  <c r="B407" i="1"/>
  <c r="C407" i="1"/>
  <c r="D407" i="1"/>
  <c r="E407" i="1"/>
  <c r="F407" i="1"/>
  <c r="G407" i="1"/>
  <c r="H407" i="1"/>
  <c r="I407" i="1"/>
  <c r="J407" i="1"/>
  <c r="B408" i="1"/>
  <c r="C408" i="1"/>
  <c r="D408" i="1"/>
  <c r="E408" i="1"/>
  <c r="F408" i="1"/>
  <c r="G408" i="1"/>
  <c r="H408" i="1"/>
  <c r="I408" i="1"/>
  <c r="J408" i="1"/>
  <c r="B409" i="1"/>
  <c r="C409" i="1"/>
  <c r="D409" i="1"/>
  <c r="E409" i="1"/>
  <c r="F409" i="1"/>
  <c r="G409" i="1"/>
  <c r="H409" i="1"/>
  <c r="I409" i="1"/>
  <c r="J409" i="1"/>
  <c r="B410" i="1"/>
  <c r="C410" i="1"/>
  <c r="D410" i="1"/>
  <c r="E410" i="1"/>
  <c r="F410" i="1"/>
  <c r="G410" i="1"/>
  <c r="H410" i="1"/>
  <c r="I410" i="1"/>
  <c r="J410" i="1"/>
  <c r="B411" i="1"/>
  <c r="C411" i="1"/>
  <c r="D411" i="1"/>
  <c r="E411" i="1"/>
  <c r="F411" i="1"/>
  <c r="G411" i="1"/>
  <c r="H411" i="1"/>
  <c r="I411" i="1"/>
  <c r="J411" i="1"/>
  <c r="B412" i="1"/>
  <c r="C412" i="1"/>
  <c r="D412" i="1"/>
  <c r="E412" i="1"/>
  <c r="F412" i="1"/>
  <c r="G412" i="1"/>
  <c r="H412" i="1"/>
  <c r="I412" i="1"/>
  <c r="J412" i="1"/>
  <c r="B413" i="1"/>
  <c r="C413" i="1"/>
  <c r="D413" i="1"/>
  <c r="E413" i="1"/>
  <c r="F413" i="1"/>
  <c r="G413" i="1"/>
  <c r="H413" i="1"/>
  <c r="I413" i="1"/>
  <c r="J413" i="1"/>
  <c r="B414" i="1"/>
  <c r="C414" i="1"/>
  <c r="D414" i="1"/>
  <c r="E414" i="1"/>
  <c r="F414" i="1"/>
  <c r="G414" i="1"/>
  <c r="H414" i="1"/>
  <c r="I414" i="1"/>
  <c r="J414" i="1"/>
  <c r="B415" i="1"/>
  <c r="C415" i="1"/>
  <c r="D415" i="1"/>
  <c r="E415" i="1"/>
  <c r="F415" i="1"/>
  <c r="G415" i="1"/>
  <c r="H415" i="1"/>
  <c r="I415" i="1"/>
  <c r="J415" i="1"/>
  <c r="B416" i="1"/>
  <c r="C416" i="1"/>
  <c r="D416" i="1"/>
  <c r="E416" i="1"/>
  <c r="F416" i="1"/>
  <c r="G416" i="1"/>
  <c r="H416" i="1"/>
  <c r="I416" i="1"/>
  <c r="J416" i="1"/>
  <c r="B417" i="1"/>
  <c r="C417" i="1"/>
  <c r="D417" i="1"/>
  <c r="E417" i="1"/>
  <c r="F417" i="1"/>
  <c r="G417" i="1"/>
  <c r="H417" i="1"/>
  <c r="I417" i="1"/>
  <c r="J417" i="1"/>
  <c r="B418" i="1"/>
  <c r="C418" i="1"/>
  <c r="D418" i="1"/>
  <c r="E418" i="1"/>
  <c r="F418" i="1"/>
  <c r="G418" i="1"/>
  <c r="H418" i="1"/>
  <c r="I418" i="1"/>
  <c r="J418" i="1"/>
  <c r="B419" i="1"/>
  <c r="C419" i="1"/>
  <c r="D419" i="1"/>
  <c r="E419" i="1"/>
  <c r="F419" i="1"/>
  <c r="G419" i="1"/>
  <c r="H419" i="1"/>
  <c r="I419" i="1"/>
  <c r="J419" i="1"/>
  <c r="B420" i="1"/>
  <c r="C420" i="1"/>
  <c r="D420" i="1"/>
  <c r="E420" i="1"/>
  <c r="F420" i="1"/>
  <c r="G420" i="1"/>
  <c r="H420" i="1"/>
  <c r="I420" i="1"/>
  <c r="J420" i="1"/>
  <c r="B421" i="1"/>
  <c r="C421" i="1"/>
  <c r="D421" i="1"/>
  <c r="E421" i="1"/>
  <c r="F421" i="1"/>
  <c r="G421" i="1"/>
  <c r="H421" i="1"/>
  <c r="I421" i="1"/>
  <c r="J421" i="1"/>
  <c r="B422" i="1"/>
  <c r="C422" i="1"/>
  <c r="D422" i="1"/>
  <c r="E422" i="1"/>
  <c r="F422" i="1"/>
  <c r="G422" i="1"/>
  <c r="H422" i="1"/>
  <c r="I422" i="1"/>
  <c r="J422" i="1"/>
  <c r="B423" i="1"/>
  <c r="C423" i="1"/>
  <c r="D423" i="1"/>
  <c r="E423" i="1"/>
  <c r="F423" i="1"/>
  <c r="G423" i="1"/>
  <c r="H423" i="1"/>
  <c r="I423" i="1"/>
  <c r="J423" i="1"/>
  <c r="B424" i="1"/>
  <c r="C424" i="1"/>
  <c r="D424" i="1"/>
  <c r="E424" i="1"/>
  <c r="F424" i="1"/>
  <c r="G424" i="1"/>
  <c r="H424" i="1"/>
  <c r="I424" i="1"/>
  <c r="J424" i="1"/>
  <c r="B425" i="1"/>
  <c r="C425" i="1"/>
  <c r="D425" i="1"/>
  <c r="E425" i="1"/>
  <c r="F425" i="1"/>
  <c r="G425" i="1"/>
  <c r="H425" i="1"/>
  <c r="I425" i="1"/>
  <c r="J425" i="1"/>
  <c r="B426" i="1"/>
  <c r="C426" i="1"/>
  <c r="D426" i="1"/>
  <c r="E426" i="1"/>
  <c r="F426" i="1"/>
  <c r="G426" i="1"/>
  <c r="H426" i="1"/>
  <c r="I426" i="1"/>
  <c r="J426" i="1"/>
  <c r="B427" i="1"/>
  <c r="C427" i="1"/>
  <c r="D427" i="1"/>
  <c r="E427" i="1"/>
  <c r="F427" i="1"/>
  <c r="G427" i="1"/>
  <c r="H427" i="1"/>
  <c r="I427" i="1"/>
  <c r="J427" i="1"/>
  <c r="B428" i="1"/>
  <c r="C428" i="1"/>
  <c r="D428" i="1"/>
  <c r="E428" i="1"/>
  <c r="F428" i="1"/>
  <c r="G428" i="1"/>
  <c r="H428" i="1"/>
  <c r="I428" i="1"/>
  <c r="J428" i="1"/>
  <c r="B429" i="1"/>
  <c r="C429" i="1"/>
  <c r="D429" i="1"/>
  <c r="E429" i="1"/>
  <c r="F429" i="1"/>
  <c r="G429" i="1"/>
  <c r="H429" i="1"/>
  <c r="I429" i="1"/>
  <c r="J429" i="1"/>
  <c r="B430" i="1"/>
  <c r="C430" i="1"/>
  <c r="D430" i="1"/>
  <c r="E430" i="1"/>
  <c r="F430" i="1"/>
  <c r="G430" i="1"/>
  <c r="H430" i="1"/>
  <c r="I430" i="1"/>
  <c r="J430" i="1"/>
  <c r="B431" i="1"/>
  <c r="C431" i="1"/>
  <c r="D431" i="1"/>
  <c r="E431" i="1"/>
  <c r="F431" i="1"/>
  <c r="G431" i="1"/>
  <c r="H431" i="1"/>
  <c r="I431" i="1"/>
  <c r="J431" i="1"/>
  <c r="B432" i="1"/>
  <c r="C432" i="1"/>
  <c r="D432" i="1"/>
  <c r="E432" i="1"/>
  <c r="F432" i="1"/>
  <c r="G432" i="1"/>
  <c r="H432" i="1"/>
  <c r="I432" i="1"/>
  <c r="J432" i="1"/>
  <c r="B433" i="1"/>
  <c r="C433" i="1"/>
  <c r="D433" i="1"/>
  <c r="E433" i="1"/>
  <c r="F433" i="1"/>
  <c r="G433" i="1"/>
  <c r="H433" i="1"/>
  <c r="I433" i="1"/>
  <c r="J433" i="1"/>
  <c r="B434" i="1"/>
  <c r="C434" i="1"/>
  <c r="D434" i="1"/>
  <c r="E434" i="1"/>
  <c r="F434" i="1"/>
  <c r="G434" i="1"/>
  <c r="H434" i="1"/>
  <c r="I434" i="1"/>
  <c r="J434" i="1"/>
  <c r="B435" i="1"/>
  <c r="C435" i="1"/>
  <c r="D435" i="1"/>
  <c r="E435" i="1"/>
  <c r="F435" i="1"/>
  <c r="G435" i="1"/>
  <c r="H435" i="1"/>
  <c r="I435" i="1"/>
  <c r="J435" i="1"/>
  <c r="B436" i="1"/>
  <c r="C436" i="1"/>
  <c r="D436" i="1"/>
  <c r="E436" i="1"/>
  <c r="F436" i="1"/>
  <c r="G436" i="1"/>
  <c r="H436" i="1"/>
  <c r="I436" i="1"/>
  <c r="J436" i="1"/>
  <c r="B437" i="1"/>
  <c r="C437" i="1"/>
  <c r="D437" i="1"/>
  <c r="E437" i="1"/>
  <c r="F437" i="1"/>
  <c r="G437" i="1"/>
  <c r="H437" i="1"/>
  <c r="I437" i="1"/>
  <c r="J437" i="1"/>
  <c r="B438" i="1"/>
  <c r="C438" i="1"/>
  <c r="D438" i="1"/>
  <c r="E438" i="1"/>
  <c r="F438" i="1"/>
  <c r="G438" i="1"/>
  <c r="H438" i="1"/>
  <c r="I438" i="1"/>
  <c r="J438" i="1"/>
  <c r="B439" i="1"/>
  <c r="C439" i="1"/>
  <c r="D439" i="1"/>
  <c r="E439" i="1"/>
  <c r="F439" i="1"/>
  <c r="G439" i="1"/>
  <c r="H439" i="1"/>
  <c r="I439" i="1"/>
  <c r="J439" i="1"/>
  <c r="B440" i="1"/>
  <c r="C440" i="1"/>
  <c r="D440" i="1"/>
  <c r="E440" i="1"/>
  <c r="F440" i="1"/>
  <c r="G440" i="1"/>
  <c r="H440" i="1"/>
  <c r="I440" i="1"/>
  <c r="J440" i="1"/>
  <c r="B441" i="1"/>
  <c r="C441" i="1"/>
  <c r="D441" i="1"/>
  <c r="E441" i="1"/>
  <c r="F441" i="1"/>
  <c r="G441" i="1"/>
  <c r="H441" i="1"/>
  <c r="I441" i="1"/>
  <c r="J441" i="1"/>
  <c r="B442" i="1"/>
  <c r="C442" i="1"/>
  <c r="D442" i="1"/>
  <c r="E442" i="1"/>
  <c r="F442" i="1"/>
  <c r="G442" i="1"/>
  <c r="H442" i="1"/>
  <c r="I442" i="1"/>
  <c r="J442" i="1"/>
  <c r="B443" i="1"/>
  <c r="C443" i="1"/>
  <c r="D443" i="1"/>
  <c r="E443" i="1"/>
  <c r="F443" i="1"/>
  <c r="G443" i="1"/>
  <c r="H443" i="1"/>
  <c r="I443" i="1"/>
  <c r="J443" i="1"/>
  <c r="B444" i="1"/>
  <c r="C444" i="1"/>
  <c r="D444" i="1"/>
  <c r="E444" i="1"/>
  <c r="F444" i="1"/>
  <c r="G444" i="1"/>
  <c r="H444" i="1"/>
  <c r="I444" i="1"/>
  <c r="J444" i="1"/>
  <c r="B445" i="1"/>
  <c r="C445" i="1"/>
  <c r="D445" i="1"/>
  <c r="E445" i="1"/>
  <c r="F445" i="1"/>
  <c r="G445" i="1"/>
  <c r="H445" i="1"/>
  <c r="I445" i="1"/>
  <c r="J445" i="1"/>
  <c r="B446" i="1"/>
  <c r="C446" i="1"/>
  <c r="D446" i="1"/>
  <c r="E446" i="1"/>
  <c r="F446" i="1"/>
  <c r="G446" i="1"/>
  <c r="H446" i="1"/>
  <c r="I446" i="1"/>
  <c r="J446" i="1"/>
  <c r="B447" i="1"/>
  <c r="C447" i="1"/>
  <c r="D447" i="1"/>
  <c r="E447" i="1"/>
  <c r="F447" i="1"/>
  <c r="G447" i="1"/>
  <c r="H447" i="1"/>
  <c r="I447" i="1"/>
  <c r="J447" i="1"/>
  <c r="B448" i="1"/>
  <c r="C448" i="1"/>
  <c r="D448" i="1"/>
  <c r="E448" i="1"/>
  <c r="F448" i="1"/>
  <c r="G448" i="1"/>
  <c r="H448" i="1"/>
  <c r="I448" i="1"/>
  <c r="J448" i="1"/>
  <c r="B449" i="1"/>
  <c r="C449" i="1"/>
  <c r="D449" i="1"/>
  <c r="E449" i="1"/>
  <c r="F449" i="1"/>
  <c r="G449" i="1"/>
  <c r="H449" i="1"/>
  <c r="I449" i="1"/>
  <c r="J449" i="1"/>
  <c r="B450" i="1"/>
  <c r="C450" i="1"/>
  <c r="D450" i="1"/>
  <c r="E450" i="1"/>
  <c r="F450" i="1"/>
  <c r="G450" i="1"/>
  <c r="H450" i="1"/>
  <c r="I450" i="1"/>
  <c r="J450" i="1"/>
  <c r="B451" i="1"/>
  <c r="C451" i="1"/>
  <c r="D451" i="1"/>
  <c r="E451" i="1"/>
  <c r="F451" i="1"/>
  <c r="G451" i="1"/>
  <c r="H451" i="1"/>
  <c r="I451" i="1"/>
  <c r="J451" i="1"/>
  <c r="B452" i="1"/>
  <c r="C452" i="1"/>
  <c r="D452" i="1"/>
  <c r="E452" i="1"/>
  <c r="F452" i="1"/>
  <c r="G452" i="1"/>
  <c r="H452" i="1"/>
  <c r="I452" i="1"/>
  <c r="J452" i="1"/>
  <c r="B453" i="1"/>
  <c r="C453" i="1"/>
  <c r="D453" i="1"/>
  <c r="E453" i="1"/>
  <c r="F453" i="1"/>
  <c r="G453" i="1"/>
  <c r="H453" i="1"/>
  <c r="I453" i="1"/>
  <c r="J453" i="1"/>
  <c r="B454" i="1"/>
  <c r="C454" i="1"/>
  <c r="D454" i="1"/>
  <c r="E454" i="1"/>
  <c r="F454" i="1"/>
  <c r="G454" i="1"/>
  <c r="H454" i="1"/>
  <c r="I454" i="1"/>
  <c r="J454" i="1"/>
  <c r="B455" i="1"/>
  <c r="C455" i="1"/>
  <c r="D455" i="1"/>
  <c r="E455" i="1"/>
  <c r="F455" i="1"/>
  <c r="G455" i="1"/>
  <c r="H455" i="1"/>
  <c r="I455" i="1"/>
  <c r="J455" i="1"/>
  <c r="B456" i="1"/>
  <c r="C456" i="1"/>
  <c r="D456" i="1"/>
  <c r="E456" i="1"/>
  <c r="F456" i="1"/>
  <c r="G456" i="1"/>
  <c r="H456" i="1"/>
  <c r="I456" i="1"/>
  <c r="J456" i="1"/>
  <c r="B457" i="1"/>
  <c r="C457" i="1"/>
  <c r="D457" i="1"/>
  <c r="E457" i="1"/>
  <c r="F457" i="1"/>
  <c r="G457" i="1"/>
  <c r="H457" i="1"/>
  <c r="I457" i="1"/>
  <c r="J457" i="1"/>
  <c r="B458" i="1"/>
  <c r="C458" i="1"/>
  <c r="D458" i="1"/>
  <c r="E458" i="1"/>
  <c r="F458" i="1"/>
  <c r="G458" i="1"/>
  <c r="H458" i="1"/>
  <c r="I458" i="1"/>
  <c r="J458" i="1"/>
  <c r="B459" i="1"/>
  <c r="C459" i="1"/>
  <c r="D459" i="1"/>
  <c r="E459" i="1"/>
  <c r="F459" i="1"/>
  <c r="G459" i="1"/>
  <c r="H459" i="1"/>
  <c r="I459" i="1"/>
  <c r="J459" i="1"/>
  <c r="B460" i="1"/>
  <c r="C460" i="1"/>
  <c r="D460" i="1"/>
  <c r="E460" i="1"/>
  <c r="F460" i="1"/>
  <c r="G460" i="1"/>
  <c r="H460" i="1"/>
  <c r="I460" i="1"/>
  <c r="J460" i="1"/>
  <c r="B461" i="1"/>
  <c r="C461" i="1"/>
  <c r="D461" i="1"/>
  <c r="E461" i="1"/>
  <c r="F461" i="1"/>
  <c r="G461" i="1"/>
  <c r="H461" i="1"/>
  <c r="I461" i="1"/>
  <c r="J461" i="1"/>
  <c r="B462" i="1"/>
  <c r="C462" i="1"/>
  <c r="D462" i="1"/>
  <c r="E462" i="1"/>
  <c r="F462" i="1"/>
  <c r="G462" i="1"/>
  <c r="H462" i="1"/>
  <c r="I462" i="1"/>
  <c r="J462" i="1"/>
  <c r="B463" i="1"/>
  <c r="C463" i="1"/>
  <c r="D463" i="1"/>
  <c r="E463" i="1"/>
  <c r="F463" i="1"/>
  <c r="G463" i="1"/>
  <c r="H463" i="1"/>
  <c r="I463" i="1"/>
  <c r="J463" i="1"/>
  <c r="B464" i="1"/>
  <c r="C464" i="1"/>
  <c r="D464" i="1"/>
  <c r="E464" i="1"/>
  <c r="F464" i="1"/>
  <c r="G464" i="1"/>
  <c r="H464" i="1"/>
  <c r="I464" i="1"/>
  <c r="J464" i="1"/>
  <c r="B465" i="1"/>
  <c r="C465" i="1"/>
  <c r="D465" i="1"/>
  <c r="E465" i="1"/>
  <c r="F465" i="1"/>
  <c r="G465" i="1"/>
  <c r="H465" i="1"/>
  <c r="I465" i="1"/>
  <c r="J465" i="1"/>
  <c r="B466" i="1"/>
  <c r="C466" i="1"/>
  <c r="D466" i="1"/>
  <c r="E466" i="1"/>
  <c r="F466" i="1"/>
  <c r="G466" i="1"/>
  <c r="H466" i="1"/>
  <c r="I466" i="1"/>
  <c r="J466" i="1"/>
  <c r="B467" i="1"/>
  <c r="C467" i="1"/>
  <c r="D467" i="1"/>
  <c r="E467" i="1"/>
  <c r="F467" i="1"/>
  <c r="G467" i="1"/>
  <c r="H467" i="1"/>
  <c r="I467" i="1"/>
  <c r="J467" i="1"/>
  <c r="B468" i="1"/>
  <c r="C468" i="1"/>
  <c r="D468" i="1"/>
  <c r="E468" i="1"/>
  <c r="F468" i="1"/>
  <c r="G468" i="1"/>
  <c r="H468" i="1"/>
  <c r="I468" i="1"/>
  <c r="J468" i="1"/>
  <c r="B469" i="1"/>
  <c r="C469" i="1"/>
  <c r="D469" i="1"/>
  <c r="E469" i="1"/>
  <c r="F469" i="1"/>
  <c r="G469" i="1"/>
  <c r="H469" i="1"/>
  <c r="I469" i="1"/>
  <c r="J469" i="1"/>
  <c r="B470" i="1"/>
  <c r="C470" i="1"/>
  <c r="D470" i="1"/>
  <c r="E470" i="1"/>
  <c r="F470" i="1"/>
  <c r="G470" i="1"/>
  <c r="H470" i="1"/>
  <c r="I470" i="1"/>
  <c r="J470" i="1"/>
  <c r="B471" i="1"/>
  <c r="C471" i="1"/>
  <c r="D471" i="1"/>
  <c r="E471" i="1"/>
  <c r="F471" i="1"/>
  <c r="G471" i="1"/>
  <c r="H471" i="1"/>
  <c r="I471" i="1"/>
  <c r="J471" i="1"/>
  <c r="B472" i="1"/>
  <c r="C472" i="1"/>
  <c r="D472" i="1"/>
  <c r="E472" i="1"/>
  <c r="F472" i="1"/>
  <c r="G472" i="1"/>
  <c r="H472" i="1"/>
  <c r="I472" i="1"/>
  <c r="J472" i="1"/>
  <c r="B473" i="1"/>
  <c r="C473" i="1"/>
  <c r="D473" i="1"/>
  <c r="E473" i="1"/>
  <c r="F473" i="1"/>
  <c r="G473" i="1"/>
  <c r="H473" i="1"/>
  <c r="I473" i="1"/>
  <c r="J473" i="1"/>
  <c r="B474" i="1"/>
  <c r="C474" i="1"/>
  <c r="D474" i="1"/>
  <c r="E474" i="1"/>
  <c r="F474" i="1"/>
  <c r="G474" i="1"/>
  <c r="H474" i="1"/>
  <c r="I474" i="1"/>
  <c r="J474" i="1"/>
  <c r="B475" i="1"/>
  <c r="C475" i="1"/>
  <c r="D475" i="1"/>
  <c r="E475" i="1"/>
  <c r="F475" i="1"/>
  <c r="G475" i="1"/>
  <c r="H475" i="1"/>
  <c r="I475" i="1"/>
  <c r="J475" i="1"/>
  <c r="B476" i="1"/>
  <c r="C476" i="1"/>
  <c r="D476" i="1"/>
  <c r="E476" i="1"/>
  <c r="F476" i="1"/>
  <c r="G476" i="1"/>
  <c r="H476" i="1"/>
  <c r="I476" i="1"/>
  <c r="J476" i="1"/>
  <c r="B477" i="1"/>
  <c r="C477" i="1"/>
  <c r="D477" i="1"/>
  <c r="E477" i="1"/>
  <c r="F477" i="1"/>
  <c r="G477" i="1"/>
  <c r="H477" i="1"/>
  <c r="I477" i="1"/>
  <c r="J477" i="1"/>
  <c r="B478" i="1"/>
  <c r="C478" i="1"/>
  <c r="D478" i="1"/>
  <c r="E478" i="1"/>
  <c r="F478" i="1"/>
  <c r="G478" i="1"/>
  <c r="H478" i="1"/>
  <c r="I478" i="1"/>
  <c r="J478" i="1"/>
  <c r="B479" i="1"/>
  <c r="C479" i="1"/>
  <c r="D479" i="1"/>
  <c r="E479" i="1"/>
  <c r="F479" i="1"/>
  <c r="G479" i="1"/>
  <c r="H479" i="1"/>
  <c r="I479" i="1"/>
  <c r="J479" i="1"/>
  <c r="B480" i="1"/>
  <c r="C480" i="1"/>
  <c r="D480" i="1"/>
  <c r="E480" i="1"/>
  <c r="F480" i="1"/>
  <c r="G480" i="1"/>
  <c r="H480" i="1"/>
  <c r="I480" i="1"/>
  <c r="J480" i="1"/>
  <c r="B481" i="1"/>
  <c r="C481" i="1"/>
  <c r="D481" i="1"/>
  <c r="E481" i="1"/>
  <c r="F481" i="1"/>
  <c r="G481" i="1"/>
  <c r="H481" i="1"/>
  <c r="I481" i="1"/>
  <c r="J481" i="1"/>
  <c r="B482" i="1"/>
  <c r="C482" i="1"/>
  <c r="D482" i="1"/>
  <c r="E482" i="1"/>
  <c r="F482" i="1"/>
  <c r="G482" i="1"/>
  <c r="H482" i="1"/>
  <c r="I482" i="1"/>
  <c r="J482" i="1"/>
  <c r="B483" i="1"/>
  <c r="C483" i="1"/>
  <c r="D483" i="1"/>
  <c r="E483" i="1"/>
  <c r="F483" i="1"/>
  <c r="G483" i="1"/>
  <c r="H483" i="1"/>
  <c r="I483" i="1"/>
  <c r="J483" i="1"/>
  <c r="B484" i="1"/>
  <c r="C484" i="1"/>
  <c r="D484" i="1"/>
  <c r="E484" i="1"/>
  <c r="F484" i="1"/>
  <c r="G484" i="1"/>
  <c r="H484" i="1"/>
  <c r="I484" i="1"/>
  <c r="J484" i="1"/>
  <c r="B485" i="1"/>
  <c r="C485" i="1"/>
  <c r="D485" i="1"/>
  <c r="E485" i="1"/>
  <c r="F485" i="1"/>
  <c r="G485" i="1"/>
  <c r="H485" i="1"/>
  <c r="I485" i="1"/>
  <c r="J485" i="1"/>
  <c r="B486" i="1"/>
  <c r="C486" i="1"/>
  <c r="D486" i="1"/>
  <c r="E486" i="1"/>
  <c r="F486" i="1"/>
  <c r="G486" i="1"/>
  <c r="H486" i="1"/>
  <c r="I486" i="1"/>
  <c r="J486" i="1"/>
  <c r="B487" i="1"/>
  <c r="C487" i="1"/>
  <c r="D487" i="1"/>
  <c r="E487" i="1"/>
  <c r="F487" i="1"/>
  <c r="G487" i="1"/>
  <c r="H487" i="1"/>
  <c r="I487" i="1"/>
  <c r="J487" i="1"/>
  <c r="B488" i="1"/>
  <c r="C488" i="1"/>
  <c r="D488" i="1"/>
  <c r="E488" i="1"/>
  <c r="F488" i="1"/>
  <c r="G488" i="1"/>
  <c r="H488" i="1"/>
  <c r="I488" i="1"/>
  <c r="J488" i="1"/>
  <c r="B489" i="1"/>
  <c r="C489" i="1"/>
  <c r="D489" i="1"/>
  <c r="E489" i="1"/>
  <c r="F489" i="1"/>
  <c r="G489" i="1"/>
  <c r="H489" i="1"/>
  <c r="I489" i="1"/>
  <c r="J489" i="1"/>
  <c r="B490" i="1"/>
  <c r="C490" i="1"/>
  <c r="D490" i="1"/>
  <c r="E490" i="1"/>
  <c r="F490" i="1"/>
  <c r="G490" i="1"/>
  <c r="H490" i="1"/>
  <c r="I490" i="1"/>
  <c r="J490" i="1"/>
  <c r="B491" i="1"/>
  <c r="C491" i="1"/>
  <c r="D491" i="1"/>
  <c r="E491" i="1"/>
  <c r="F491" i="1"/>
  <c r="G491" i="1"/>
  <c r="H491" i="1"/>
  <c r="I491" i="1"/>
  <c r="J491" i="1"/>
  <c r="B492" i="1"/>
  <c r="C492" i="1"/>
  <c r="D492" i="1"/>
  <c r="E492" i="1"/>
  <c r="F492" i="1"/>
  <c r="G492" i="1"/>
  <c r="H492" i="1"/>
  <c r="I492" i="1"/>
  <c r="J492" i="1"/>
  <c r="B493" i="1"/>
  <c r="C493" i="1"/>
  <c r="D493" i="1"/>
  <c r="E493" i="1"/>
  <c r="F493" i="1"/>
  <c r="G493" i="1"/>
  <c r="H493" i="1"/>
  <c r="I493" i="1"/>
  <c r="J493" i="1"/>
  <c r="B494" i="1"/>
  <c r="C494" i="1"/>
  <c r="D494" i="1"/>
  <c r="E494" i="1"/>
  <c r="F494" i="1"/>
  <c r="G494" i="1"/>
  <c r="H494" i="1"/>
  <c r="I494" i="1"/>
  <c r="J494" i="1"/>
  <c r="B495" i="1"/>
  <c r="C495" i="1"/>
  <c r="D495" i="1"/>
  <c r="E495" i="1"/>
  <c r="F495" i="1"/>
  <c r="G495" i="1"/>
  <c r="H495" i="1"/>
  <c r="I495" i="1"/>
  <c r="J495" i="1"/>
  <c r="B496" i="1"/>
  <c r="C496" i="1"/>
  <c r="D496" i="1"/>
  <c r="E496" i="1"/>
  <c r="F496" i="1"/>
  <c r="G496" i="1"/>
  <c r="H496" i="1"/>
  <c r="I496" i="1"/>
  <c r="J496" i="1"/>
  <c r="B497" i="1"/>
  <c r="C497" i="1"/>
  <c r="D497" i="1"/>
  <c r="E497" i="1"/>
  <c r="F497" i="1"/>
  <c r="G497" i="1"/>
  <c r="H497" i="1"/>
  <c r="I497" i="1"/>
  <c r="J497" i="1"/>
  <c r="B498" i="1"/>
  <c r="C498" i="1"/>
  <c r="D498" i="1"/>
  <c r="E498" i="1"/>
  <c r="F498" i="1"/>
  <c r="G498" i="1"/>
  <c r="H498" i="1"/>
  <c r="I498" i="1"/>
  <c r="J498" i="1"/>
  <c r="B499" i="1"/>
  <c r="C499" i="1"/>
  <c r="D499" i="1"/>
  <c r="E499" i="1"/>
  <c r="F499" i="1"/>
  <c r="G499" i="1"/>
  <c r="H499" i="1"/>
  <c r="I499" i="1"/>
  <c r="J499" i="1"/>
  <c r="B500" i="1"/>
  <c r="C500" i="1"/>
  <c r="D500" i="1"/>
  <c r="E500" i="1"/>
  <c r="F500" i="1"/>
  <c r="G500" i="1"/>
  <c r="H500" i="1"/>
  <c r="I500" i="1"/>
  <c r="J500" i="1"/>
  <c r="B501" i="1"/>
  <c r="C501" i="1"/>
  <c r="D501" i="1"/>
  <c r="E501" i="1"/>
  <c r="F501" i="1"/>
  <c r="G501" i="1"/>
  <c r="H501" i="1"/>
  <c r="I501" i="1"/>
  <c r="J501" i="1"/>
  <c r="B502" i="1"/>
  <c r="C502" i="1"/>
  <c r="D502" i="1"/>
  <c r="E502" i="1"/>
  <c r="F502" i="1"/>
  <c r="G502" i="1"/>
  <c r="H502" i="1"/>
  <c r="I502" i="1"/>
  <c r="J502" i="1"/>
  <c r="B503" i="1"/>
  <c r="C503" i="1"/>
  <c r="D503" i="1"/>
  <c r="E503" i="1"/>
  <c r="F503" i="1"/>
  <c r="G503" i="1"/>
  <c r="H503" i="1"/>
  <c r="I503" i="1"/>
  <c r="J503" i="1"/>
  <c r="B504" i="1"/>
  <c r="C504" i="1"/>
  <c r="D504" i="1"/>
  <c r="E504" i="1"/>
  <c r="F504" i="1"/>
  <c r="G504" i="1"/>
  <c r="H504" i="1"/>
  <c r="I504" i="1"/>
  <c r="J504" i="1"/>
  <c r="B505" i="1"/>
  <c r="C505" i="1"/>
  <c r="D505" i="1"/>
  <c r="E505" i="1"/>
  <c r="F505" i="1"/>
  <c r="G505" i="1"/>
  <c r="H505" i="1"/>
  <c r="I505" i="1"/>
  <c r="J505" i="1"/>
  <c r="B506" i="1"/>
  <c r="C506" i="1"/>
  <c r="D506" i="1"/>
  <c r="E506" i="1"/>
  <c r="F506" i="1"/>
  <c r="G506" i="1"/>
  <c r="H506" i="1"/>
  <c r="I506" i="1"/>
  <c r="J506" i="1"/>
  <c r="B507" i="1"/>
  <c r="C507" i="1"/>
  <c r="D507" i="1"/>
  <c r="E507" i="1"/>
  <c r="F507" i="1"/>
  <c r="G507" i="1"/>
  <c r="H507" i="1"/>
  <c r="I507" i="1"/>
  <c r="J507" i="1"/>
  <c r="B508" i="1"/>
  <c r="C508" i="1"/>
  <c r="D508" i="1"/>
  <c r="E508" i="1"/>
  <c r="F508" i="1"/>
  <c r="G508" i="1"/>
  <c r="H508" i="1"/>
  <c r="I508" i="1"/>
  <c r="J508" i="1"/>
  <c r="B509" i="1"/>
  <c r="C509" i="1"/>
  <c r="D509" i="1"/>
  <c r="E509" i="1"/>
  <c r="F509" i="1"/>
  <c r="G509" i="1"/>
  <c r="H509" i="1"/>
  <c r="I509" i="1"/>
  <c r="J509" i="1"/>
  <c r="B510" i="1"/>
  <c r="C510" i="1"/>
  <c r="D510" i="1"/>
  <c r="E510" i="1"/>
  <c r="F510" i="1"/>
  <c r="G510" i="1"/>
  <c r="H510" i="1"/>
  <c r="I510" i="1"/>
  <c r="J510" i="1"/>
  <c r="B511" i="1"/>
  <c r="C511" i="1"/>
  <c r="D511" i="1"/>
  <c r="E511" i="1"/>
  <c r="F511" i="1"/>
  <c r="G511" i="1"/>
  <c r="H511" i="1"/>
  <c r="I511" i="1"/>
  <c r="J511" i="1"/>
  <c r="B512" i="1"/>
  <c r="C512" i="1"/>
  <c r="D512" i="1"/>
  <c r="E512" i="1"/>
  <c r="F512" i="1"/>
  <c r="G512" i="1"/>
  <c r="H512" i="1"/>
  <c r="I512" i="1"/>
  <c r="J512" i="1"/>
  <c r="B513" i="1"/>
  <c r="C513" i="1"/>
  <c r="D513" i="1"/>
  <c r="E513" i="1"/>
  <c r="F513" i="1"/>
  <c r="G513" i="1"/>
  <c r="H513" i="1"/>
  <c r="I513" i="1"/>
  <c r="J513" i="1"/>
  <c r="B514" i="1"/>
  <c r="C514" i="1"/>
  <c r="D514" i="1"/>
  <c r="E514" i="1"/>
  <c r="F514" i="1"/>
  <c r="G514" i="1"/>
  <c r="H514" i="1"/>
  <c r="I514" i="1"/>
  <c r="J514" i="1"/>
  <c r="B515" i="1"/>
  <c r="C515" i="1"/>
  <c r="D515" i="1"/>
  <c r="E515" i="1"/>
  <c r="F515" i="1"/>
  <c r="G515" i="1"/>
  <c r="H515" i="1"/>
  <c r="I515" i="1"/>
  <c r="J515" i="1"/>
  <c r="B516" i="1"/>
  <c r="C516" i="1"/>
  <c r="D516" i="1"/>
  <c r="E516" i="1"/>
  <c r="F516" i="1"/>
  <c r="G516" i="1"/>
  <c r="H516" i="1"/>
  <c r="I516" i="1"/>
  <c r="J516" i="1"/>
  <c r="B517" i="1"/>
  <c r="C517" i="1"/>
  <c r="D517" i="1"/>
  <c r="E517" i="1"/>
  <c r="F517" i="1"/>
  <c r="G517" i="1"/>
  <c r="H517" i="1"/>
  <c r="I517" i="1"/>
  <c r="J517" i="1"/>
  <c r="B518" i="1"/>
  <c r="C518" i="1"/>
  <c r="D518" i="1"/>
  <c r="E518" i="1"/>
  <c r="F518" i="1"/>
  <c r="G518" i="1"/>
  <c r="H518" i="1"/>
  <c r="I518" i="1"/>
  <c r="J518" i="1"/>
  <c r="B519" i="1"/>
  <c r="C519" i="1"/>
  <c r="D519" i="1"/>
  <c r="E519" i="1"/>
  <c r="F519" i="1"/>
  <c r="G519" i="1"/>
  <c r="H519" i="1"/>
  <c r="I519" i="1"/>
  <c r="J519" i="1"/>
  <c r="B520" i="1"/>
  <c r="C520" i="1"/>
  <c r="D520" i="1"/>
  <c r="E520" i="1"/>
  <c r="F520" i="1"/>
  <c r="G520" i="1"/>
  <c r="H520" i="1"/>
  <c r="I520" i="1"/>
  <c r="J520" i="1"/>
  <c r="B521" i="1"/>
  <c r="C521" i="1"/>
  <c r="D521" i="1"/>
  <c r="E521" i="1"/>
  <c r="F521" i="1"/>
  <c r="G521" i="1"/>
  <c r="H521" i="1"/>
  <c r="I521" i="1"/>
  <c r="J521" i="1"/>
  <c r="B522" i="1"/>
  <c r="C522" i="1"/>
  <c r="D522" i="1"/>
  <c r="E522" i="1"/>
  <c r="F522" i="1"/>
  <c r="G522" i="1"/>
  <c r="H522" i="1"/>
  <c r="I522" i="1"/>
  <c r="J522" i="1"/>
  <c r="B523" i="1"/>
  <c r="C523" i="1"/>
  <c r="D523" i="1"/>
  <c r="E523" i="1"/>
  <c r="F523" i="1"/>
  <c r="G523" i="1"/>
  <c r="H523" i="1"/>
  <c r="I523" i="1"/>
  <c r="J523" i="1"/>
  <c r="B524" i="1"/>
  <c r="C524" i="1"/>
  <c r="D524" i="1"/>
  <c r="E524" i="1"/>
  <c r="F524" i="1"/>
  <c r="G524" i="1"/>
  <c r="H524" i="1"/>
  <c r="I524" i="1"/>
  <c r="J524" i="1"/>
  <c r="B525" i="1"/>
  <c r="C525" i="1"/>
  <c r="D525" i="1"/>
  <c r="E525" i="1"/>
  <c r="F525" i="1"/>
  <c r="G525" i="1"/>
  <c r="H525" i="1"/>
  <c r="I525" i="1"/>
  <c r="J525" i="1"/>
  <c r="B526" i="1"/>
  <c r="C526" i="1"/>
  <c r="D526" i="1"/>
  <c r="E526" i="1"/>
  <c r="F526" i="1"/>
  <c r="G526" i="1"/>
  <c r="H526" i="1"/>
  <c r="I526" i="1"/>
  <c r="J526" i="1"/>
  <c r="B527" i="1"/>
  <c r="C527" i="1"/>
  <c r="D527" i="1"/>
  <c r="E527" i="1"/>
  <c r="F527" i="1"/>
  <c r="G527" i="1"/>
  <c r="H527" i="1"/>
  <c r="I527" i="1"/>
  <c r="J527" i="1"/>
  <c r="B528" i="1"/>
  <c r="C528" i="1"/>
  <c r="D528" i="1"/>
  <c r="E528" i="1"/>
  <c r="F528" i="1"/>
  <c r="G528" i="1"/>
  <c r="H528" i="1"/>
  <c r="I528" i="1"/>
  <c r="J528" i="1"/>
  <c r="B529" i="1"/>
  <c r="C529" i="1"/>
  <c r="D529" i="1"/>
  <c r="E529" i="1"/>
  <c r="F529" i="1"/>
  <c r="G529" i="1"/>
  <c r="H529" i="1"/>
  <c r="I529" i="1"/>
  <c r="J529" i="1"/>
  <c r="B530" i="1"/>
  <c r="C530" i="1"/>
  <c r="D530" i="1"/>
  <c r="E530" i="1"/>
  <c r="F530" i="1"/>
  <c r="G530" i="1"/>
  <c r="H530" i="1"/>
  <c r="I530" i="1"/>
  <c r="J530" i="1"/>
  <c r="B531" i="1"/>
  <c r="C531" i="1"/>
  <c r="D531" i="1"/>
  <c r="E531" i="1"/>
  <c r="F531" i="1"/>
  <c r="G531" i="1"/>
  <c r="H531" i="1"/>
  <c r="I531" i="1"/>
  <c r="J531" i="1"/>
  <c r="B532" i="1"/>
  <c r="C532" i="1"/>
  <c r="D532" i="1"/>
  <c r="E532" i="1"/>
  <c r="F532" i="1"/>
  <c r="G532" i="1"/>
  <c r="H532" i="1"/>
  <c r="I532" i="1"/>
  <c r="J532" i="1"/>
  <c r="B533" i="1"/>
  <c r="C533" i="1"/>
  <c r="D533" i="1"/>
  <c r="E533" i="1"/>
  <c r="F533" i="1"/>
  <c r="G533" i="1"/>
  <c r="H533" i="1"/>
  <c r="I533" i="1"/>
  <c r="J533" i="1"/>
  <c r="B534" i="1"/>
  <c r="C534" i="1"/>
  <c r="D534" i="1"/>
  <c r="E534" i="1"/>
  <c r="F534" i="1"/>
  <c r="G534" i="1"/>
  <c r="H534" i="1"/>
  <c r="I534" i="1"/>
  <c r="J534" i="1"/>
  <c r="B535" i="1"/>
  <c r="C535" i="1"/>
  <c r="D535" i="1"/>
  <c r="E535" i="1"/>
  <c r="F535" i="1"/>
  <c r="G535" i="1"/>
  <c r="H535" i="1"/>
  <c r="I535" i="1"/>
  <c r="J535" i="1"/>
  <c r="B536" i="1"/>
  <c r="C536" i="1"/>
  <c r="D536" i="1"/>
  <c r="E536" i="1"/>
  <c r="F536" i="1"/>
  <c r="G536" i="1"/>
  <c r="H536" i="1"/>
  <c r="I536" i="1"/>
  <c r="J536" i="1"/>
  <c r="B537" i="1"/>
  <c r="C537" i="1"/>
  <c r="D537" i="1"/>
  <c r="E537" i="1"/>
  <c r="F537" i="1"/>
  <c r="G537" i="1"/>
  <c r="H537" i="1"/>
  <c r="I537" i="1"/>
  <c r="J537" i="1"/>
  <c r="B538" i="1"/>
  <c r="C538" i="1"/>
  <c r="D538" i="1"/>
  <c r="E538" i="1"/>
  <c r="F538" i="1"/>
  <c r="G538" i="1"/>
  <c r="H538" i="1"/>
  <c r="I538" i="1"/>
  <c r="J538" i="1"/>
  <c r="B539" i="1"/>
  <c r="C539" i="1"/>
  <c r="D539" i="1"/>
  <c r="E539" i="1"/>
  <c r="F539" i="1"/>
  <c r="G539" i="1"/>
  <c r="H539" i="1"/>
  <c r="I539" i="1"/>
  <c r="J539" i="1"/>
  <c r="B540" i="1"/>
  <c r="C540" i="1"/>
  <c r="D540" i="1"/>
  <c r="E540" i="1"/>
  <c r="F540" i="1"/>
  <c r="G540" i="1"/>
  <c r="H540" i="1"/>
  <c r="I540" i="1"/>
  <c r="J540" i="1"/>
  <c r="B541" i="1"/>
  <c r="C541" i="1"/>
  <c r="D541" i="1"/>
  <c r="E541" i="1"/>
  <c r="F541" i="1"/>
  <c r="G541" i="1"/>
  <c r="H541" i="1"/>
  <c r="I541" i="1"/>
  <c r="J541" i="1"/>
  <c r="B542" i="1"/>
  <c r="C542" i="1"/>
  <c r="D542" i="1"/>
  <c r="E542" i="1"/>
  <c r="F542" i="1"/>
  <c r="G542" i="1"/>
  <c r="H542" i="1"/>
  <c r="I542" i="1"/>
  <c r="J542" i="1"/>
  <c r="B543" i="1"/>
  <c r="C543" i="1"/>
  <c r="D543" i="1"/>
  <c r="E543" i="1"/>
  <c r="F543" i="1"/>
  <c r="G543" i="1"/>
  <c r="H543" i="1"/>
  <c r="I543" i="1"/>
  <c r="J543" i="1"/>
  <c r="B544" i="1"/>
  <c r="C544" i="1"/>
  <c r="D544" i="1"/>
  <c r="E544" i="1"/>
  <c r="F544" i="1"/>
  <c r="G544" i="1"/>
  <c r="H544" i="1"/>
  <c r="I544" i="1"/>
  <c r="J544" i="1"/>
  <c r="B545" i="1"/>
  <c r="C545" i="1"/>
  <c r="D545" i="1"/>
  <c r="E545" i="1"/>
  <c r="F545" i="1"/>
  <c r="G545" i="1"/>
  <c r="H545" i="1"/>
  <c r="I545" i="1"/>
  <c r="J545" i="1"/>
  <c r="B546" i="1"/>
  <c r="C546" i="1"/>
  <c r="D546" i="1"/>
  <c r="E546" i="1"/>
  <c r="F546" i="1"/>
  <c r="G546" i="1"/>
  <c r="H546" i="1"/>
  <c r="I546" i="1"/>
  <c r="J546" i="1"/>
  <c r="B547" i="1"/>
  <c r="C547" i="1"/>
  <c r="D547" i="1"/>
  <c r="E547" i="1"/>
  <c r="F547" i="1"/>
  <c r="G547" i="1"/>
  <c r="H547" i="1"/>
  <c r="I547" i="1"/>
  <c r="J547" i="1"/>
  <c r="B548" i="1"/>
  <c r="C548" i="1"/>
  <c r="D548" i="1"/>
  <c r="E548" i="1"/>
  <c r="F548" i="1"/>
  <c r="G548" i="1"/>
  <c r="H548" i="1"/>
  <c r="I548" i="1"/>
  <c r="J548" i="1"/>
  <c r="B549" i="1"/>
  <c r="C549" i="1"/>
  <c r="D549" i="1"/>
  <c r="E549" i="1"/>
  <c r="F549" i="1"/>
  <c r="G549" i="1"/>
  <c r="H549" i="1"/>
  <c r="I549" i="1"/>
  <c r="J549" i="1"/>
  <c r="B550" i="1"/>
  <c r="C550" i="1"/>
  <c r="D550" i="1"/>
  <c r="E550" i="1"/>
  <c r="F550" i="1"/>
  <c r="G550" i="1"/>
  <c r="H550" i="1"/>
  <c r="I550" i="1"/>
  <c r="J550" i="1"/>
  <c r="B551" i="1"/>
  <c r="C551" i="1"/>
  <c r="D551" i="1"/>
  <c r="E551" i="1"/>
  <c r="F551" i="1"/>
  <c r="G551" i="1"/>
  <c r="H551" i="1"/>
  <c r="I551" i="1"/>
  <c r="J551" i="1"/>
  <c r="B552" i="1"/>
  <c r="C552" i="1"/>
  <c r="D552" i="1"/>
  <c r="E552" i="1"/>
  <c r="F552" i="1"/>
  <c r="G552" i="1"/>
  <c r="H552" i="1"/>
  <c r="I552" i="1"/>
  <c r="J552" i="1"/>
  <c r="B553" i="1"/>
  <c r="C553" i="1"/>
  <c r="D553" i="1"/>
  <c r="E553" i="1"/>
  <c r="F553" i="1"/>
  <c r="G553" i="1"/>
  <c r="H553" i="1"/>
  <c r="I553" i="1"/>
  <c r="J553" i="1"/>
  <c r="B554" i="1"/>
  <c r="C554" i="1"/>
  <c r="D554" i="1"/>
  <c r="E554" i="1"/>
  <c r="F554" i="1"/>
  <c r="G554" i="1"/>
  <c r="H554" i="1"/>
  <c r="I554" i="1"/>
  <c r="J554" i="1"/>
  <c r="B555" i="1"/>
  <c r="C555" i="1"/>
  <c r="D555" i="1"/>
  <c r="E555" i="1"/>
  <c r="F555" i="1"/>
  <c r="G555" i="1"/>
  <c r="H555" i="1"/>
  <c r="I555" i="1"/>
  <c r="J555" i="1"/>
  <c r="B556" i="1"/>
  <c r="C556" i="1"/>
  <c r="D556" i="1"/>
  <c r="E556" i="1"/>
  <c r="F556" i="1"/>
  <c r="G556" i="1"/>
  <c r="H556" i="1"/>
  <c r="I556" i="1"/>
  <c r="J556" i="1"/>
  <c r="B557" i="1"/>
  <c r="C557" i="1"/>
  <c r="D557" i="1"/>
  <c r="E557" i="1"/>
  <c r="F557" i="1"/>
  <c r="G557" i="1"/>
  <c r="H557" i="1"/>
  <c r="I557" i="1"/>
  <c r="J557" i="1"/>
  <c r="B558" i="1"/>
  <c r="C558" i="1"/>
  <c r="D558" i="1"/>
  <c r="E558" i="1"/>
  <c r="F558" i="1"/>
  <c r="G558" i="1"/>
  <c r="H558" i="1"/>
  <c r="I558" i="1"/>
  <c r="J558" i="1"/>
  <c r="B559" i="1"/>
  <c r="C559" i="1"/>
  <c r="D559" i="1"/>
  <c r="E559" i="1"/>
  <c r="F559" i="1"/>
  <c r="G559" i="1"/>
  <c r="H559" i="1"/>
  <c r="I559" i="1"/>
  <c r="J559" i="1"/>
  <c r="B560" i="1"/>
  <c r="C560" i="1"/>
  <c r="D560" i="1"/>
  <c r="E560" i="1"/>
  <c r="F560" i="1"/>
  <c r="G560" i="1"/>
  <c r="H560" i="1"/>
  <c r="I560" i="1"/>
  <c r="J560" i="1"/>
  <c r="B561" i="1"/>
  <c r="C561" i="1"/>
  <c r="D561" i="1"/>
  <c r="E561" i="1"/>
  <c r="F561" i="1"/>
  <c r="G561" i="1"/>
  <c r="H561" i="1"/>
  <c r="I561" i="1"/>
  <c r="J561" i="1"/>
  <c r="B562" i="1"/>
  <c r="C562" i="1"/>
  <c r="D562" i="1"/>
  <c r="E562" i="1"/>
  <c r="F562" i="1"/>
  <c r="G562" i="1"/>
  <c r="H562" i="1"/>
  <c r="I562" i="1"/>
  <c r="J562" i="1"/>
  <c r="B563" i="1"/>
  <c r="C563" i="1"/>
  <c r="D563" i="1"/>
  <c r="E563" i="1"/>
  <c r="F563" i="1"/>
  <c r="G563" i="1"/>
  <c r="H563" i="1"/>
  <c r="I563" i="1"/>
  <c r="J563" i="1"/>
  <c r="B564" i="1"/>
  <c r="C564" i="1"/>
  <c r="D564" i="1"/>
  <c r="E564" i="1"/>
  <c r="F564" i="1"/>
  <c r="G564" i="1"/>
  <c r="H564" i="1"/>
  <c r="I564" i="1"/>
  <c r="J564" i="1"/>
  <c r="B565" i="1"/>
  <c r="C565" i="1"/>
  <c r="D565" i="1"/>
  <c r="E565" i="1"/>
  <c r="F565" i="1"/>
  <c r="G565" i="1"/>
  <c r="H565" i="1"/>
  <c r="I565" i="1"/>
  <c r="J565" i="1"/>
  <c r="B566" i="1"/>
  <c r="C566" i="1"/>
  <c r="D566" i="1"/>
  <c r="E566" i="1"/>
  <c r="F566" i="1"/>
  <c r="G566" i="1"/>
  <c r="H566" i="1"/>
  <c r="I566" i="1"/>
  <c r="J566" i="1"/>
  <c r="B567" i="1"/>
  <c r="C567" i="1"/>
  <c r="D567" i="1"/>
  <c r="E567" i="1"/>
  <c r="F567" i="1"/>
  <c r="G567" i="1"/>
  <c r="H567" i="1"/>
  <c r="I567" i="1"/>
  <c r="J567" i="1"/>
  <c r="B568" i="1"/>
  <c r="C568" i="1"/>
  <c r="D568" i="1"/>
  <c r="E568" i="1"/>
  <c r="F568" i="1"/>
  <c r="G568" i="1"/>
  <c r="H568" i="1"/>
  <c r="I568" i="1"/>
  <c r="J568" i="1"/>
  <c r="B569" i="1"/>
  <c r="C569" i="1"/>
  <c r="D569" i="1"/>
  <c r="E569" i="1"/>
  <c r="F569" i="1"/>
  <c r="G569" i="1"/>
  <c r="H569" i="1"/>
  <c r="I569" i="1"/>
  <c r="J569" i="1"/>
  <c r="B570" i="1"/>
  <c r="C570" i="1"/>
  <c r="D570" i="1"/>
  <c r="E570" i="1"/>
  <c r="F570" i="1"/>
  <c r="G570" i="1"/>
  <c r="H570" i="1"/>
  <c r="I570" i="1"/>
  <c r="J570" i="1"/>
  <c r="B571" i="1"/>
  <c r="C571" i="1"/>
  <c r="D571" i="1"/>
  <c r="E571" i="1"/>
  <c r="F571" i="1"/>
  <c r="G571" i="1"/>
  <c r="H571" i="1"/>
  <c r="I571" i="1"/>
  <c r="J571" i="1"/>
  <c r="B572" i="1"/>
  <c r="C572" i="1"/>
  <c r="D572" i="1"/>
  <c r="E572" i="1"/>
  <c r="F572" i="1"/>
  <c r="G572" i="1"/>
  <c r="H572" i="1"/>
  <c r="I572" i="1"/>
  <c r="J572" i="1"/>
  <c r="B573" i="1"/>
  <c r="C573" i="1"/>
  <c r="D573" i="1"/>
  <c r="E573" i="1"/>
  <c r="F573" i="1"/>
  <c r="G573" i="1"/>
  <c r="H573" i="1"/>
  <c r="I573" i="1"/>
  <c r="J573" i="1"/>
  <c r="B574" i="1"/>
  <c r="C574" i="1"/>
  <c r="D574" i="1"/>
  <c r="E574" i="1"/>
  <c r="F574" i="1"/>
  <c r="G574" i="1"/>
  <c r="H574" i="1"/>
  <c r="I574" i="1"/>
  <c r="J574" i="1"/>
  <c r="B575" i="1"/>
  <c r="C575" i="1"/>
  <c r="D575" i="1"/>
  <c r="E575" i="1"/>
  <c r="F575" i="1"/>
  <c r="G575" i="1"/>
  <c r="H575" i="1"/>
  <c r="I575" i="1"/>
  <c r="J575" i="1"/>
  <c r="B576" i="1"/>
  <c r="C576" i="1"/>
  <c r="D576" i="1"/>
  <c r="E576" i="1"/>
  <c r="F576" i="1"/>
  <c r="G576" i="1"/>
  <c r="H576" i="1"/>
  <c r="I576" i="1"/>
  <c r="J576" i="1"/>
  <c r="B577" i="1"/>
  <c r="C577" i="1"/>
  <c r="D577" i="1"/>
  <c r="E577" i="1"/>
  <c r="F577" i="1"/>
  <c r="G577" i="1"/>
  <c r="H577" i="1"/>
  <c r="I577" i="1"/>
  <c r="J577" i="1"/>
  <c r="B578" i="1"/>
  <c r="C578" i="1"/>
  <c r="D578" i="1"/>
  <c r="E578" i="1"/>
  <c r="F578" i="1"/>
  <c r="G578" i="1"/>
  <c r="H578" i="1"/>
  <c r="I578" i="1"/>
  <c r="J578" i="1"/>
  <c r="B579" i="1"/>
  <c r="C579" i="1"/>
  <c r="D579" i="1"/>
  <c r="E579" i="1"/>
  <c r="F579" i="1"/>
  <c r="G579" i="1"/>
  <c r="H579" i="1"/>
  <c r="I579" i="1"/>
  <c r="J579" i="1"/>
  <c r="B580" i="1"/>
  <c r="C580" i="1"/>
  <c r="D580" i="1"/>
  <c r="E580" i="1"/>
  <c r="F580" i="1"/>
  <c r="G580" i="1"/>
  <c r="H580" i="1"/>
  <c r="I580" i="1"/>
  <c r="J580" i="1"/>
  <c r="B581" i="1"/>
  <c r="C581" i="1"/>
  <c r="D581" i="1"/>
  <c r="E581" i="1"/>
  <c r="F581" i="1"/>
  <c r="G581" i="1"/>
  <c r="H581" i="1"/>
  <c r="I581" i="1"/>
  <c r="J581" i="1"/>
  <c r="B582" i="1"/>
  <c r="C582" i="1"/>
  <c r="D582" i="1"/>
  <c r="E582" i="1"/>
  <c r="F582" i="1"/>
  <c r="G582" i="1"/>
  <c r="H582" i="1"/>
  <c r="I582" i="1"/>
  <c r="J582" i="1"/>
  <c r="B583" i="1"/>
  <c r="C583" i="1"/>
  <c r="D583" i="1"/>
  <c r="E583" i="1"/>
  <c r="F583" i="1"/>
  <c r="G583" i="1"/>
  <c r="H583" i="1"/>
  <c r="I583" i="1"/>
  <c r="J583" i="1"/>
  <c r="B584" i="1"/>
  <c r="C584" i="1"/>
  <c r="D584" i="1"/>
  <c r="E584" i="1"/>
  <c r="F584" i="1"/>
  <c r="G584" i="1"/>
  <c r="H584" i="1"/>
  <c r="I584" i="1"/>
  <c r="J584" i="1"/>
  <c r="B585" i="1"/>
  <c r="C585" i="1"/>
  <c r="D585" i="1"/>
  <c r="E585" i="1"/>
  <c r="F585" i="1"/>
  <c r="G585" i="1"/>
  <c r="H585" i="1"/>
  <c r="I585" i="1"/>
  <c r="J585" i="1"/>
  <c r="B586" i="1"/>
  <c r="C586" i="1"/>
  <c r="D586" i="1"/>
  <c r="E586" i="1"/>
  <c r="F586" i="1"/>
  <c r="G586" i="1"/>
  <c r="H586" i="1"/>
  <c r="I586" i="1"/>
  <c r="J586" i="1"/>
  <c r="B587" i="1"/>
  <c r="C587" i="1"/>
  <c r="D587" i="1"/>
  <c r="E587" i="1"/>
  <c r="F587" i="1"/>
  <c r="G587" i="1"/>
  <c r="H587" i="1"/>
  <c r="I587" i="1"/>
  <c r="J587" i="1"/>
  <c r="B588" i="1"/>
  <c r="C588" i="1"/>
  <c r="D588" i="1"/>
  <c r="E588" i="1"/>
  <c r="F588" i="1"/>
  <c r="G588" i="1"/>
  <c r="H588" i="1"/>
  <c r="I588" i="1"/>
  <c r="J588" i="1"/>
  <c r="B589" i="1"/>
  <c r="C589" i="1"/>
  <c r="D589" i="1"/>
  <c r="E589" i="1"/>
  <c r="F589" i="1"/>
  <c r="G589" i="1"/>
  <c r="H589" i="1"/>
  <c r="I589" i="1"/>
  <c r="J589" i="1"/>
  <c r="B590" i="1"/>
  <c r="C590" i="1"/>
  <c r="D590" i="1"/>
  <c r="E590" i="1"/>
  <c r="F590" i="1"/>
  <c r="G590" i="1"/>
  <c r="H590" i="1"/>
  <c r="I590" i="1"/>
  <c r="J590" i="1"/>
  <c r="B591" i="1"/>
  <c r="C591" i="1"/>
  <c r="D591" i="1"/>
  <c r="E591" i="1"/>
  <c r="F591" i="1"/>
  <c r="G591" i="1"/>
  <c r="H591" i="1"/>
  <c r="I591" i="1"/>
  <c r="J591" i="1"/>
  <c r="B592" i="1"/>
  <c r="C592" i="1"/>
  <c r="D592" i="1"/>
  <c r="E592" i="1"/>
  <c r="F592" i="1"/>
  <c r="G592" i="1"/>
  <c r="H592" i="1"/>
  <c r="I592" i="1"/>
  <c r="J592" i="1"/>
  <c r="B593" i="1"/>
  <c r="C593" i="1"/>
  <c r="D593" i="1"/>
  <c r="E593" i="1"/>
  <c r="F593" i="1"/>
  <c r="G593" i="1"/>
  <c r="H593" i="1"/>
  <c r="I593" i="1"/>
  <c r="J593" i="1"/>
  <c r="B594" i="1"/>
  <c r="C594" i="1"/>
  <c r="D594" i="1"/>
  <c r="E594" i="1"/>
  <c r="F594" i="1"/>
  <c r="G594" i="1"/>
  <c r="H594" i="1"/>
  <c r="I594" i="1"/>
  <c r="J594" i="1"/>
  <c r="B595" i="1"/>
  <c r="C595" i="1"/>
  <c r="D595" i="1"/>
  <c r="E595" i="1"/>
  <c r="F595" i="1"/>
  <c r="G595" i="1"/>
  <c r="H595" i="1"/>
  <c r="I595" i="1"/>
  <c r="J595" i="1"/>
  <c r="B596" i="1"/>
  <c r="C596" i="1"/>
  <c r="D596" i="1"/>
  <c r="E596" i="1"/>
  <c r="F596" i="1"/>
  <c r="G596" i="1"/>
  <c r="H596" i="1"/>
  <c r="I596" i="1"/>
  <c r="J596" i="1"/>
  <c r="B597" i="1"/>
  <c r="C597" i="1"/>
  <c r="D597" i="1"/>
  <c r="E597" i="1"/>
  <c r="F597" i="1"/>
  <c r="G597" i="1"/>
  <c r="H597" i="1"/>
  <c r="I597" i="1"/>
  <c r="J597" i="1"/>
  <c r="B598" i="1"/>
  <c r="C598" i="1"/>
  <c r="D598" i="1"/>
  <c r="E598" i="1"/>
  <c r="F598" i="1"/>
  <c r="G598" i="1"/>
  <c r="H598" i="1"/>
  <c r="I598" i="1"/>
  <c r="J598" i="1"/>
  <c r="B599" i="1"/>
  <c r="C599" i="1"/>
  <c r="D599" i="1"/>
  <c r="E599" i="1"/>
  <c r="F599" i="1"/>
  <c r="G599" i="1"/>
  <c r="H599" i="1"/>
  <c r="I599" i="1"/>
  <c r="J599" i="1"/>
  <c r="B600" i="1"/>
  <c r="C600" i="1"/>
  <c r="D600" i="1"/>
  <c r="E600" i="1"/>
  <c r="F600" i="1"/>
  <c r="G600" i="1"/>
  <c r="H600" i="1"/>
  <c r="I600" i="1"/>
  <c r="J600" i="1"/>
  <c r="B601" i="1"/>
  <c r="C601" i="1"/>
  <c r="D601" i="1"/>
  <c r="E601" i="1"/>
  <c r="F601" i="1"/>
  <c r="G601" i="1"/>
  <c r="H601" i="1"/>
  <c r="I601" i="1"/>
  <c r="J601" i="1"/>
  <c r="B602" i="1"/>
  <c r="C602" i="1"/>
  <c r="D602" i="1"/>
  <c r="E602" i="1"/>
  <c r="F602" i="1"/>
  <c r="G602" i="1"/>
  <c r="H602" i="1"/>
  <c r="I602" i="1"/>
  <c r="J602" i="1"/>
  <c r="B603" i="1"/>
  <c r="C603" i="1"/>
  <c r="D603" i="1"/>
  <c r="E603" i="1"/>
  <c r="F603" i="1"/>
  <c r="G603" i="1"/>
  <c r="H603" i="1"/>
  <c r="I603" i="1"/>
  <c r="J603" i="1"/>
  <c r="B604" i="1"/>
  <c r="C604" i="1"/>
  <c r="D604" i="1"/>
  <c r="E604" i="1"/>
  <c r="F604" i="1"/>
  <c r="G604" i="1"/>
  <c r="H604" i="1"/>
  <c r="I604" i="1"/>
  <c r="J604" i="1"/>
  <c r="B605" i="1"/>
  <c r="C605" i="1"/>
  <c r="D605" i="1"/>
  <c r="E605" i="1"/>
  <c r="F605" i="1"/>
  <c r="G605" i="1"/>
  <c r="H605" i="1"/>
  <c r="I605" i="1"/>
  <c r="J605" i="1"/>
  <c r="B606" i="1"/>
  <c r="C606" i="1"/>
  <c r="D606" i="1"/>
  <c r="E606" i="1"/>
  <c r="F606" i="1"/>
  <c r="G606" i="1"/>
  <c r="H606" i="1"/>
  <c r="I606" i="1"/>
  <c r="J606" i="1"/>
  <c r="B607" i="1"/>
  <c r="C607" i="1"/>
  <c r="D607" i="1"/>
  <c r="E607" i="1"/>
  <c r="F607" i="1"/>
  <c r="G607" i="1"/>
  <c r="H607" i="1"/>
  <c r="I607" i="1"/>
  <c r="J607" i="1"/>
  <c r="B608" i="1"/>
  <c r="C608" i="1"/>
  <c r="D608" i="1"/>
  <c r="E608" i="1"/>
  <c r="F608" i="1"/>
  <c r="G608" i="1"/>
  <c r="H608" i="1"/>
  <c r="I608" i="1"/>
  <c r="J608" i="1"/>
  <c r="B609" i="1"/>
  <c r="C609" i="1"/>
  <c r="D609" i="1"/>
  <c r="E609" i="1"/>
  <c r="F609" i="1"/>
  <c r="G609" i="1"/>
  <c r="H609" i="1"/>
  <c r="I609" i="1"/>
  <c r="J609" i="1"/>
  <c r="B610" i="1"/>
  <c r="C610" i="1"/>
  <c r="D610" i="1"/>
  <c r="E610" i="1"/>
  <c r="F610" i="1"/>
  <c r="G610" i="1"/>
  <c r="H610" i="1"/>
  <c r="I610" i="1"/>
  <c r="J610" i="1"/>
  <c r="B611" i="1"/>
  <c r="C611" i="1"/>
  <c r="D611" i="1"/>
  <c r="E611" i="1"/>
  <c r="F611" i="1"/>
  <c r="G611" i="1"/>
  <c r="H611" i="1"/>
  <c r="I611" i="1"/>
  <c r="J611" i="1"/>
  <c r="B612" i="1"/>
  <c r="C612" i="1"/>
  <c r="D612" i="1"/>
  <c r="E612" i="1"/>
  <c r="F612" i="1"/>
  <c r="G612" i="1"/>
  <c r="H612" i="1"/>
  <c r="I612" i="1"/>
  <c r="J612" i="1"/>
  <c r="B613" i="1"/>
  <c r="C613" i="1"/>
  <c r="D613" i="1"/>
  <c r="E613" i="1"/>
  <c r="F613" i="1"/>
  <c r="G613" i="1"/>
  <c r="H613" i="1"/>
  <c r="I613" i="1"/>
  <c r="J613" i="1"/>
  <c r="B614" i="1"/>
  <c r="C614" i="1"/>
  <c r="D614" i="1"/>
  <c r="E614" i="1"/>
  <c r="F614" i="1"/>
  <c r="G614" i="1"/>
  <c r="H614" i="1"/>
  <c r="I614" i="1"/>
  <c r="J614" i="1"/>
  <c r="B615" i="1"/>
  <c r="C615" i="1"/>
  <c r="D615" i="1"/>
  <c r="E615" i="1"/>
  <c r="F615" i="1"/>
  <c r="G615" i="1"/>
  <c r="H615" i="1"/>
  <c r="I615" i="1"/>
  <c r="J615" i="1"/>
  <c r="B616" i="1"/>
  <c r="C616" i="1"/>
  <c r="D616" i="1"/>
  <c r="E616" i="1"/>
  <c r="F616" i="1"/>
  <c r="G616" i="1"/>
  <c r="H616" i="1"/>
  <c r="I616" i="1"/>
  <c r="J616" i="1"/>
  <c r="B617" i="1"/>
  <c r="C617" i="1"/>
  <c r="D617" i="1"/>
  <c r="E617" i="1"/>
  <c r="F617" i="1"/>
  <c r="G617" i="1"/>
  <c r="H617" i="1"/>
  <c r="I617" i="1"/>
  <c r="J617" i="1"/>
  <c r="B618" i="1"/>
  <c r="C618" i="1"/>
  <c r="D618" i="1"/>
  <c r="E618" i="1"/>
  <c r="F618" i="1"/>
  <c r="G618" i="1"/>
  <c r="H618" i="1"/>
  <c r="I618" i="1"/>
  <c r="J618" i="1"/>
  <c r="B619" i="1"/>
  <c r="C619" i="1"/>
  <c r="D619" i="1"/>
  <c r="E619" i="1"/>
  <c r="F619" i="1"/>
  <c r="G619" i="1"/>
  <c r="H619" i="1"/>
  <c r="I619" i="1"/>
  <c r="J619" i="1"/>
  <c r="B620" i="1"/>
  <c r="C620" i="1"/>
  <c r="D620" i="1"/>
  <c r="E620" i="1"/>
  <c r="F620" i="1"/>
  <c r="G620" i="1"/>
  <c r="H620" i="1"/>
  <c r="I620" i="1"/>
  <c r="J620" i="1"/>
  <c r="B621" i="1"/>
  <c r="C621" i="1"/>
  <c r="D621" i="1"/>
  <c r="E621" i="1"/>
  <c r="F621" i="1"/>
  <c r="G621" i="1"/>
  <c r="H621" i="1"/>
  <c r="I621" i="1"/>
  <c r="J621" i="1"/>
  <c r="B622" i="1"/>
  <c r="C622" i="1"/>
  <c r="D622" i="1"/>
  <c r="E622" i="1"/>
  <c r="F622" i="1"/>
  <c r="G622" i="1"/>
  <c r="H622" i="1"/>
  <c r="I622" i="1"/>
  <c r="J622" i="1"/>
  <c r="B623" i="1"/>
  <c r="C623" i="1"/>
  <c r="D623" i="1"/>
  <c r="E623" i="1"/>
  <c r="F623" i="1"/>
  <c r="G623" i="1"/>
  <c r="H623" i="1"/>
  <c r="I623" i="1"/>
  <c r="J623" i="1"/>
  <c r="B624" i="1"/>
  <c r="C624" i="1"/>
  <c r="D624" i="1"/>
  <c r="E624" i="1"/>
  <c r="F624" i="1"/>
  <c r="G624" i="1"/>
  <c r="H624" i="1"/>
  <c r="I624" i="1"/>
  <c r="J624" i="1"/>
  <c r="B625" i="1"/>
  <c r="C625" i="1"/>
  <c r="D625" i="1"/>
  <c r="E625" i="1"/>
  <c r="F625" i="1"/>
  <c r="G625" i="1"/>
  <c r="H625" i="1"/>
  <c r="I625" i="1"/>
  <c r="J625" i="1"/>
  <c r="B626" i="1"/>
  <c r="C626" i="1"/>
  <c r="D626" i="1"/>
  <c r="E626" i="1"/>
  <c r="F626" i="1"/>
  <c r="G626" i="1"/>
  <c r="H626" i="1"/>
  <c r="I626" i="1"/>
  <c r="J626" i="1"/>
  <c r="B627" i="1"/>
  <c r="C627" i="1"/>
  <c r="D627" i="1"/>
  <c r="E627" i="1"/>
  <c r="F627" i="1"/>
  <c r="G627" i="1"/>
  <c r="H627" i="1"/>
  <c r="I627" i="1"/>
  <c r="J627" i="1"/>
  <c r="B628" i="1"/>
  <c r="C628" i="1"/>
  <c r="D628" i="1"/>
  <c r="E628" i="1"/>
  <c r="F628" i="1"/>
  <c r="G628" i="1"/>
  <c r="H628" i="1"/>
  <c r="I628" i="1"/>
  <c r="J628" i="1"/>
  <c r="B629" i="1"/>
  <c r="C629" i="1"/>
  <c r="D629" i="1"/>
  <c r="E629" i="1"/>
  <c r="F629" i="1"/>
  <c r="G629" i="1"/>
  <c r="H629" i="1"/>
  <c r="I629" i="1"/>
  <c r="J629" i="1"/>
  <c r="B630" i="1"/>
  <c r="C630" i="1"/>
  <c r="D630" i="1"/>
  <c r="E630" i="1"/>
  <c r="F630" i="1"/>
  <c r="G630" i="1"/>
  <c r="H630" i="1"/>
  <c r="I630" i="1"/>
  <c r="J630" i="1"/>
  <c r="B631" i="1"/>
  <c r="C631" i="1"/>
  <c r="D631" i="1"/>
  <c r="E631" i="1"/>
  <c r="F631" i="1"/>
  <c r="G631" i="1"/>
  <c r="H631" i="1"/>
  <c r="I631" i="1"/>
  <c r="J631" i="1"/>
  <c r="B632" i="1"/>
  <c r="C632" i="1"/>
  <c r="D632" i="1"/>
  <c r="E632" i="1"/>
  <c r="F632" i="1"/>
  <c r="G632" i="1"/>
  <c r="H632" i="1"/>
  <c r="I632" i="1"/>
  <c r="J632" i="1"/>
  <c r="B633" i="1"/>
  <c r="C633" i="1"/>
  <c r="D633" i="1"/>
  <c r="E633" i="1"/>
  <c r="F633" i="1"/>
  <c r="G633" i="1"/>
  <c r="H633" i="1"/>
  <c r="I633" i="1"/>
  <c r="J633" i="1"/>
  <c r="B634" i="1"/>
  <c r="C634" i="1"/>
  <c r="D634" i="1"/>
  <c r="E634" i="1"/>
  <c r="F634" i="1"/>
  <c r="G634" i="1"/>
  <c r="H634" i="1"/>
  <c r="I634" i="1"/>
  <c r="J634" i="1"/>
  <c r="B635" i="1"/>
  <c r="C635" i="1"/>
  <c r="D635" i="1"/>
  <c r="E635" i="1"/>
  <c r="F635" i="1"/>
  <c r="G635" i="1"/>
  <c r="H635" i="1"/>
  <c r="I635" i="1"/>
  <c r="J635" i="1"/>
  <c r="B636" i="1"/>
  <c r="C636" i="1"/>
  <c r="D636" i="1"/>
  <c r="E636" i="1"/>
  <c r="F636" i="1"/>
  <c r="G636" i="1"/>
  <c r="H636" i="1"/>
  <c r="I636" i="1"/>
  <c r="J636" i="1"/>
  <c r="B637" i="1"/>
  <c r="C637" i="1"/>
  <c r="D637" i="1"/>
  <c r="E637" i="1"/>
  <c r="F637" i="1"/>
  <c r="G637" i="1"/>
  <c r="H637" i="1"/>
  <c r="I637" i="1"/>
  <c r="J637" i="1"/>
  <c r="B638" i="1"/>
  <c r="C638" i="1"/>
  <c r="D638" i="1"/>
  <c r="E638" i="1"/>
  <c r="F638" i="1"/>
  <c r="G638" i="1"/>
  <c r="H638" i="1"/>
  <c r="I638" i="1"/>
  <c r="J638" i="1"/>
  <c r="B639" i="1"/>
  <c r="C639" i="1"/>
  <c r="D639" i="1"/>
  <c r="E639" i="1"/>
  <c r="F639" i="1"/>
  <c r="G639" i="1"/>
  <c r="H639" i="1"/>
  <c r="I639" i="1"/>
  <c r="J639" i="1"/>
  <c r="B640" i="1"/>
  <c r="C640" i="1"/>
  <c r="D640" i="1"/>
  <c r="E640" i="1"/>
  <c r="F640" i="1"/>
  <c r="G640" i="1"/>
  <c r="H640" i="1"/>
  <c r="I640" i="1"/>
  <c r="J640" i="1"/>
  <c r="B641" i="1"/>
  <c r="C641" i="1"/>
  <c r="D641" i="1"/>
  <c r="E641" i="1"/>
  <c r="F641" i="1"/>
  <c r="G641" i="1"/>
  <c r="H641" i="1"/>
  <c r="I641" i="1"/>
  <c r="J641" i="1"/>
  <c r="B642" i="1"/>
  <c r="C642" i="1"/>
  <c r="D642" i="1"/>
  <c r="E642" i="1"/>
  <c r="F642" i="1"/>
  <c r="G642" i="1"/>
  <c r="H642" i="1"/>
  <c r="I642" i="1"/>
  <c r="J642" i="1"/>
  <c r="B643" i="1"/>
  <c r="C643" i="1"/>
  <c r="D643" i="1"/>
  <c r="E643" i="1"/>
  <c r="F643" i="1"/>
  <c r="G643" i="1"/>
  <c r="H643" i="1"/>
  <c r="I643" i="1"/>
  <c r="J643" i="1"/>
  <c r="B644" i="1"/>
  <c r="C644" i="1"/>
  <c r="D644" i="1"/>
  <c r="E644" i="1"/>
  <c r="F644" i="1"/>
  <c r="G644" i="1"/>
  <c r="H644" i="1"/>
  <c r="I644" i="1"/>
  <c r="J644" i="1"/>
  <c r="B645" i="1"/>
  <c r="C645" i="1"/>
  <c r="D645" i="1"/>
  <c r="E645" i="1"/>
  <c r="F645" i="1"/>
  <c r="G645" i="1"/>
  <c r="H645" i="1"/>
  <c r="I645" i="1"/>
  <c r="J645" i="1"/>
  <c r="B646" i="1"/>
  <c r="C646" i="1"/>
  <c r="D646" i="1"/>
  <c r="E646" i="1"/>
  <c r="F646" i="1"/>
  <c r="G646" i="1"/>
  <c r="H646" i="1"/>
  <c r="I646" i="1"/>
  <c r="J646" i="1"/>
  <c r="B647" i="1"/>
  <c r="C647" i="1"/>
  <c r="D647" i="1"/>
  <c r="E647" i="1"/>
  <c r="F647" i="1"/>
  <c r="G647" i="1"/>
  <c r="H647" i="1"/>
  <c r="I647" i="1"/>
  <c r="J647" i="1"/>
  <c r="B648" i="1"/>
  <c r="C648" i="1"/>
  <c r="D648" i="1"/>
  <c r="E648" i="1"/>
  <c r="F648" i="1"/>
  <c r="G648" i="1"/>
  <c r="H648" i="1"/>
  <c r="I648" i="1"/>
  <c r="J648" i="1"/>
  <c r="B649" i="1"/>
  <c r="C649" i="1"/>
  <c r="D649" i="1"/>
  <c r="E649" i="1"/>
  <c r="F649" i="1"/>
  <c r="G649" i="1"/>
  <c r="H649" i="1"/>
  <c r="I649" i="1"/>
  <c r="J649" i="1"/>
  <c r="B650" i="1"/>
  <c r="C650" i="1"/>
  <c r="D650" i="1"/>
  <c r="E650" i="1"/>
  <c r="F650" i="1"/>
  <c r="G650" i="1"/>
  <c r="H650" i="1"/>
  <c r="I650" i="1"/>
  <c r="J650" i="1"/>
  <c r="B651" i="1"/>
  <c r="C651" i="1"/>
  <c r="D651" i="1"/>
  <c r="E651" i="1"/>
  <c r="F651" i="1"/>
  <c r="G651" i="1"/>
  <c r="H651" i="1"/>
  <c r="I651" i="1"/>
  <c r="J651" i="1"/>
  <c r="B652" i="1"/>
  <c r="C652" i="1"/>
  <c r="D652" i="1"/>
  <c r="E652" i="1"/>
  <c r="F652" i="1"/>
  <c r="G652" i="1"/>
  <c r="H652" i="1"/>
  <c r="I652" i="1"/>
  <c r="J652" i="1"/>
  <c r="B653" i="1"/>
  <c r="C653" i="1"/>
  <c r="D653" i="1"/>
  <c r="E653" i="1"/>
  <c r="F653" i="1"/>
  <c r="G653" i="1"/>
  <c r="H653" i="1"/>
  <c r="I653" i="1"/>
  <c r="J653" i="1"/>
  <c r="B654" i="1"/>
  <c r="C654" i="1"/>
  <c r="D654" i="1"/>
  <c r="E654" i="1"/>
  <c r="F654" i="1"/>
  <c r="G654" i="1"/>
  <c r="H654" i="1"/>
  <c r="I654" i="1"/>
  <c r="J654" i="1"/>
  <c r="B655" i="1"/>
  <c r="C655" i="1"/>
  <c r="D655" i="1"/>
  <c r="E655" i="1"/>
  <c r="F655" i="1"/>
  <c r="G655" i="1"/>
  <c r="H655" i="1"/>
  <c r="I655" i="1"/>
  <c r="J655" i="1"/>
  <c r="B656" i="1"/>
  <c r="C656" i="1"/>
  <c r="D656" i="1"/>
  <c r="E656" i="1"/>
  <c r="F656" i="1"/>
  <c r="G656" i="1"/>
  <c r="H656" i="1"/>
  <c r="I656" i="1"/>
  <c r="J656" i="1"/>
  <c r="B657" i="1"/>
  <c r="C657" i="1"/>
  <c r="D657" i="1"/>
  <c r="E657" i="1"/>
  <c r="F657" i="1"/>
  <c r="G657" i="1"/>
  <c r="H657" i="1"/>
  <c r="I657" i="1"/>
  <c r="J657" i="1"/>
  <c r="B658" i="1"/>
  <c r="C658" i="1"/>
  <c r="D658" i="1"/>
  <c r="E658" i="1"/>
  <c r="F658" i="1"/>
  <c r="G658" i="1"/>
  <c r="H658" i="1"/>
  <c r="I658" i="1"/>
  <c r="J658" i="1"/>
  <c r="B659" i="1"/>
  <c r="C659" i="1"/>
  <c r="D659" i="1"/>
  <c r="E659" i="1"/>
  <c r="F659" i="1"/>
  <c r="G659" i="1"/>
  <c r="H659" i="1"/>
  <c r="I659" i="1"/>
  <c r="J659" i="1"/>
  <c r="B660" i="1"/>
  <c r="C660" i="1"/>
  <c r="D660" i="1"/>
  <c r="E660" i="1"/>
  <c r="F660" i="1"/>
  <c r="G660" i="1"/>
  <c r="H660" i="1"/>
  <c r="I660" i="1"/>
  <c r="J660" i="1"/>
  <c r="B661" i="1"/>
  <c r="C661" i="1"/>
  <c r="D661" i="1"/>
  <c r="E661" i="1"/>
  <c r="F661" i="1"/>
  <c r="G661" i="1"/>
  <c r="H661" i="1"/>
  <c r="I661" i="1"/>
  <c r="J661" i="1"/>
  <c r="B662" i="1"/>
  <c r="C662" i="1"/>
  <c r="D662" i="1"/>
  <c r="E662" i="1"/>
  <c r="F662" i="1"/>
  <c r="G662" i="1"/>
  <c r="H662" i="1"/>
  <c r="I662" i="1"/>
  <c r="J662" i="1"/>
  <c r="B663" i="1"/>
  <c r="C663" i="1"/>
  <c r="D663" i="1"/>
  <c r="E663" i="1"/>
  <c r="F663" i="1"/>
  <c r="G663" i="1"/>
  <c r="H663" i="1"/>
  <c r="I663" i="1"/>
  <c r="J663" i="1"/>
  <c r="B664" i="1"/>
  <c r="C664" i="1"/>
  <c r="D664" i="1"/>
  <c r="E664" i="1"/>
  <c r="F664" i="1"/>
  <c r="G664" i="1"/>
  <c r="H664" i="1"/>
  <c r="I664" i="1"/>
  <c r="J664" i="1"/>
  <c r="B665" i="1"/>
  <c r="C665" i="1"/>
  <c r="D665" i="1"/>
  <c r="E665" i="1"/>
  <c r="F665" i="1"/>
  <c r="G665" i="1"/>
  <c r="H665" i="1"/>
  <c r="I665" i="1"/>
  <c r="J665" i="1"/>
  <c r="B666" i="1"/>
  <c r="C666" i="1"/>
  <c r="D666" i="1"/>
  <c r="E666" i="1"/>
  <c r="F666" i="1"/>
  <c r="G666" i="1"/>
  <c r="H666" i="1"/>
  <c r="I666" i="1"/>
  <c r="J666" i="1"/>
  <c r="B667" i="1"/>
  <c r="C667" i="1"/>
  <c r="D667" i="1"/>
  <c r="E667" i="1"/>
  <c r="F667" i="1"/>
  <c r="G667" i="1"/>
  <c r="H667" i="1"/>
  <c r="I667" i="1"/>
  <c r="J667" i="1"/>
  <c r="B668" i="1"/>
  <c r="C668" i="1"/>
  <c r="D668" i="1"/>
  <c r="E668" i="1"/>
  <c r="F668" i="1"/>
  <c r="G668" i="1"/>
  <c r="H668" i="1"/>
  <c r="I668" i="1"/>
  <c r="J668" i="1"/>
  <c r="B669" i="1"/>
  <c r="C669" i="1"/>
  <c r="D669" i="1"/>
  <c r="E669" i="1"/>
  <c r="F669" i="1"/>
  <c r="G669" i="1"/>
  <c r="H669" i="1"/>
  <c r="I669" i="1"/>
  <c r="J669" i="1"/>
  <c r="B670" i="1"/>
  <c r="C670" i="1"/>
  <c r="D670" i="1"/>
  <c r="E670" i="1"/>
  <c r="F670" i="1"/>
  <c r="G670" i="1"/>
  <c r="H670" i="1"/>
  <c r="I670" i="1"/>
  <c r="J670" i="1"/>
  <c r="B671" i="1"/>
  <c r="C671" i="1"/>
  <c r="D671" i="1"/>
  <c r="E671" i="1"/>
  <c r="F671" i="1"/>
  <c r="G671" i="1"/>
  <c r="H671" i="1"/>
  <c r="I671" i="1"/>
  <c r="J671" i="1"/>
  <c r="B672" i="1"/>
  <c r="C672" i="1"/>
  <c r="D672" i="1"/>
  <c r="E672" i="1"/>
  <c r="F672" i="1"/>
  <c r="G672" i="1"/>
  <c r="H672" i="1"/>
  <c r="I672" i="1"/>
  <c r="J672" i="1"/>
  <c r="B673" i="1"/>
  <c r="C673" i="1"/>
  <c r="D673" i="1"/>
  <c r="E673" i="1"/>
  <c r="F673" i="1"/>
  <c r="G673" i="1"/>
  <c r="H673" i="1"/>
  <c r="I673" i="1"/>
  <c r="J673" i="1"/>
  <c r="B674" i="1"/>
  <c r="C674" i="1"/>
  <c r="D674" i="1"/>
  <c r="E674" i="1"/>
  <c r="F674" i="1"/>
  <c r="G674" i="1"/>
  <c r="H674" i="1"/>
  <c r="I674" i="1"/>
  <c r="J674" i="1"/>
  <c r="B675" i="1"/>
  <c r="C675" i="1"/>
  <c r="D675" i="1"/>
  <c r="E675" i="1"/>
  <c r="F675" i="1"/>
  <c r="G675" i="1"/>
  <c r="H675" i="1"/>
  <c r="I675" i="1"/>
  <c r="J675" i="1"/>
  <c r="B676" i="1"/>
  <c r="C676" i="1"/>
  <c r="D676" i="1"/>
  <c r="E676" i="1"/>
  <c r="F676" i="1"/>
  <c r="G676" i="1"/>
  <c r="H676" i="1"/>
  <c r="I676" i="1"/>
  <c r="J676" i="1"/>
  <c r="B677" i="1"/>
  <c r="C677" i="1"/>
  <c r="D677" i="1"/>
  <c r="E677" i="1"/>
  <c r="F677" i="1"/>
  <c r="G677" i="1"/>
  <c r="H677" i="1"/>
  <c r="I677" i="1"/>
  <c r="J677" i="1"/>
  <c r="B678" i="1"/>
  <c r="C678" i="1"/>
  <c r="D678" i="1"/>
  <c r="E678" i="1"/>
  <c r="F678" i="1"/>
  <c r="G678" i="1"/>
  <c r="H678" i="1"/>
  <c r="I678" i="1"/>
  <c r="J678" i="1"/>
  <c r="B679" i="1"/>
  <c r="C679" i="1"/>
  <c r="D679" i="1"/>
  <c r="E679" i="1"/>
  <c r="F679" i="1"/>
  <c r="G679" i="1"/>
  <c r="H679" i="1"/>
  <c r="I679" i="1"/>
  <c r="J679" i="1"/>
  <c r="B680" i="1"/>
  <c r="C680" i="1"/>
  <c r="D680" i="1"/>
  <c r="E680" i="1"/>
  <c r="F680" i="1"/>
  <c r="G680" i="1"/>
  <c r="H680" i="1"/>
  <c r="I680" i="1"/>
  <c r="J680" i="1"/>
  <c r="B681" i="1"/>
  <c r="C681" i="1"/>
  <c r="D681" i="1"/>
  <c r="E681" i="1"/>
  <c r="F681" i="1"/>
  <c r="G681" i="1"/>
  <c r="H681" i="1"/>
  <c r="I681" i="1"/>
  <c r="J681" i="1"/>
  <c r="B682" i="1"/>
  <c r="C682" i="1"/>
  <c r="D682" i="1"/>
  <c r="E682" i="1"/>
  <c r="F682" i="1"/>
  <c r="G682" i="1"/>
  <c r="H682" i="1"/>
  <c r="I682" i="1"/>
  <c r="J682" i="1"/>
  <c r="B683" i="1"/>
  <c r="C683" i="1"/>
  <c r="D683" i="1"/>
  <c r="E683" i="1"/>
  <c r="F683" i="1"/>
  <c r="G683" i="1"/>
  <c r="H683" i="1"/>
  <c r="I683" i="1"/>
  <c r="J683" i="1"/>
  <c r="B684" i="1"/>
  <c r="C684" i="1"/>
  <c r="D684" i="1"/>
  <c r="E684" i="1"/>
  <c r="F684" i="1"/>
  <c r="G684" i="1"/>
  <c r="H684" i="1"/>
  <c r="I684" i="1"/>
  <c r="J684" i="1"/>
  <c r="B685" i="1"/>
  <c r="C685" i="1"/>
  <c r="D685" i="1"/>
  <c r="E685" i="1"/>
  <c r="F685" i="1"/>
  <c r="G685" i="1"/>
  <c r="H685" i="1"/>
  <c r="I685" i="1"/>
  <c r="J685" i="1"/>
  <c r="B686" i="1"/>
  <c r="C686" i="1"/>
  <c r="D686" i="1"/>
  <c r="E686" i="1"/>
  <c r="F686" i="1"/>
  <c r="G686" i="1"/>
  <c r="H686" i="1"/>
  <c r="I686" i="1"/>
  <c r="J686" i="1"/>
  <c r="B687" i="1"/>
  <c r="C687" i="1"/>
  <c r="D687" i="1"/>
  <c r="E687" i="1"/>
  <c r="F687" i="1"/>
  <c r="G687" i="1"/>
  <c r="H687" i="1"/>
  <c r="I687" i="1"/>
  <c r="J687" i="1"/>
  <c r="B688" i="1"/>
  <c r="C688" i="1"/>
  <c r="D688" i="1"/>
  <c r="E688" i="1"/>
  <c r="F688" i="1"/>
  <c r="G688" i="1"/>
  <c r="H688" i="1"/>
  <c r="I688" i="1"/>
  <c r="J688" i="1"/>
  <c r="B689" i="1"/>
  <c r="C689" i="1"/>
  <c r="D689" i="1"/>
  <c r="E689" i="1"/>
  <c r="F689" i="1"/>
  <c r="G689" i="1"/>
  <c r="H689" i="1"/>
  <c r="I689" i="1"/>
  <c r="J689" i="1"/>
  <c r="B690" i="1"/>
  <c r="C690" i="1"/>
  <c r="D690" i="1"/>
  <c r="E690" i="1"/>
  <c r="F690" i="1"/>
  <c r="G690" i="1"/>
  <c r="H690" i="1"/>
  <c r="I690" i="1"/>
  <c r="J690" i="1"/>
  <c r="B691" i="1"/>
  <c r="C691" i="1"/>
  <c r="D691" i="1"/>
  <c r="E691" i="1"/>
  <c r="F691" i="1"/>
  <c r="G691" i="1"/>
  <c r="H691" i="1"/>
  <c r="I691" i="1"/>
  <c r="J691" i="1"/>
  <c r="B692" i="1"/>
  <c r="C692" i="1"/>
  <c r="D692" i="1"/>
  <c r="E692" i="1"/>
  <c r="F692" i="1"/>
  <c r="G692" i="1"/>
  <c r="H692" i="1"/>
  <c r="I692" i="1"/>
  <c r="J692" i="1"/>
  <c r="B693" i="1"/>
  <c r="C693" i="1"/>
  <c r="D693" i="1"/>
  <c r="E693" i="1"/>
  <c r="F693" i="1"/>
  <c r="G693" i="1"/>
  <c r="H693" i="1"/>
  <c r="I693" i="1"/>
  <c r="J693" i="1"/>
  <c r="B694" i="1"/>
  <c r="C694" i="1"/>
  <c r="D694" i="1"/>
  <c r="E694" i="1"/>
  <c r="F694" i="1"/>
  <c r="G694" i="1"/>
  <c r="H694" i="1"/>
  <c r="I694" i="1"/>
  <c r="J694" i="1"/>
  <c r="B695" i="1"/>
  <c r="C695" i="1"/>
  <c r="D695" i="1"/>
  <c r="E695" i="1"/>
  <c r="F695" i="1"/>
  <c r="G695" i="1"/>
  <c r="H695" i="1"/>
  <c r="I695" i="1"/>
  <c r="J695" i="1"/>
  <c r="B696" i="1"/>
  <c r="C696" i="1"/>
  <c r="D696" i="1"/>
  <c r="E696" i="1"/>
  <c r="F696" i="1"/>
  <c r="G696" i="1"/>
  <c r="H696" i="1"/>
  <c r="I696" i="1"/>
  <c r="J696" i="1"/>
  <c r="B697" i="1"/>
  <c r="C697" i="1"/>
  <c r="D697" i="1"/>
  <c r="E697" i="1"/>
  <c r="F697" i="1"/>
  <c r="G697" i="1"/>
  <c r="H697" i="1"/>
  <c r="I697" i="1"/>
  <c r="J697" i="1"/>
  <c r="B698" i="1"/>
  <c r="C698" i="1"/>
  <c r="D698" i="1"/>
  <c r="E698" i="1"/>
  <c r="F698" i="1"/>
  <c r="G698" i="1"/>
  <c r="H698" i="1"/>
  <c r="I698" i="1"/>
  <c r="J698" i="1"/>
  <c r="B699" i="1"/>
  <c r="C699" i="1"/>
  <c r="D699" i="1"/>
  <c r="E699" i="1"/>
  <c r="F699" i="1"/>
  <c r="G699" i="1"/>
  <c r="H699" i="1"/>
  <c r="I699" i="1"/>
  <c r="J699" i="1"/>
  <c r="B700" i="1"/>
  <c r="C700" i="1"/>
  <c r="D700" i="1"/>
  <c r="E700" i="1"/>
  <c r="F700" i="1"/>
  <c r="G700" i="1"/>
  <c r="H700" i="1"/>
  <c r="I700" i="1"/>
  <c r="J700" i="1"/>
  <c r="B701" i="1"/>
  <c r="C701" i="1"/>
  <c r="D701" i="1"/>
  <c r="E701" i="1"/>
  <c r="F701" i="1"/>
  <c r="G701" i="1"/>
  <c r="H701" i="1"/>
  <c r="I701" i="1"/>
  <c r="J701" i="1"/>
  <c r="B702" i="1"/>
  <c r="C702" i="1"/>
  <c r="D702" i="1"/>
  <c r="E702" i="1"/>
  <c r="F702" i="1"/>
  <c r="G702" i="1"/>
  <c r="H702" i="1"/>
  <c r="I702" i="1"/>
  <c r="J702" i="1"/>
  <c r="B703" i="1"/>
  <c r="C703" i="1"/>
  <c r="D703" i="1"/>
  <c r="E703" i="1"/>
  <c r="F703" i="1"/>
  <c r="G703" i="1"/>
  <c r="H703" i="1"/>
  <c r="I703" i="1"/>
  <c r="J703" i="1"/>
  <c r="B704" i="1"/>
  <c r="C704" i="1"/>
  <c r="D704" i="1"/>
  <c r="E704" i="1"/>
  <c r="F704" i="1"/>
  <c r="G704" i="1"/>
  <c r="H704" i="1"/>
  <c r="I704" i="1"/>
  <c r="J704" i="1"/>
  <c r="B705" i="1"/>
  <c r="C705" i="1"/>
  <c r="D705" i="1"/>
  <c r="E705" i="1"/>
  <c r="F705" i="1"/>
  <c r="G705" i="1"/>
  <c r="H705" i="1"/>
  <c r="I705" i="1"/>
  <c r="J705" i="1"/>
  <c r="B706" i="1"/>
  <c r="C706" i="1"/>
  <c r="D706" i="1"/>
  <c r="E706" i="1"/>
  <c r="F706" i="1"/>
  <c r="G706" i="1"/>
  <c r="H706" i="1"/>
  <c r="I706" i="1"/>
  <c r="J706" i="1"/>
  <c r="B707" i="1"/>
  <c r="C707" i="1"/>
  <c r="D707" i="1"/>
  <c r="E707" i="1"/>
  <c r="F707" i="1"/>
  <c r="G707" i="1"/>
  <c r="H707" i="1"/>
  <c r="I707" i="1"/>
  <c r="J707" i="1"/>
  <c r="B708" i="1"/>
  <c r="C708" i="1"/>
  <c r="D708" i="1"/>
  <c r="E708" i="1"/>
  <c r="F708" i="1"/>
  <c r="G708" i="1"/>
  <c r="H708" i="1"/>
  <c r="I708" i="1"/>
  <c r="J708" i="1"/>
  <c r="B709" i="1"/>
  <c r="C709" i="1"/>
  <c r="D709" i="1"/>
  <c r="E709" i="1"/>
  <c r="F709" i="1"/>
  <c r="G709" i="1"/>
  <c r="H709" i="1"/>
  <c r="I709" i="1"/>
  <c r="J709" i="1"/>
  <c r="B710" i="1"/>
  <c r="C710" i="1"/>
  <c r="D710" i="1"/>
  <c r="E710" i="1"/>
  <c r="F710" i="1"/>
  <c r="G710" i="1"/>
  <c r="H710" i="1"/>
  <c r="I710" i="1"/>
  <c r="J710" i="1"/>
  <c r="B711" i="1"/>
  <c r="C711" i="1"/>
  <c r="D711" i="1"/>
  <c r="E711" i="1"/>
  <c r="F711" i="1"/>
  <c r="G711" i="1"/>
  <c r="H711" i="1"/>
  <c r="I711" i="1"/>
  <c r="J711" i="1"/>
  <c r="B712" i="1"/>
  <c r="C712" i="1"/>
  <c r="D712" i="1"/>
  <c r="E712" i="1"/>
  <c r="F712" i="1"/>
  <c r="G712" i="1"/>
  <c r="H712" i="1"/>
  <c r="I712" i="1"/>
  <c r="J712" i="1"/>
  <c r="B713" i="1"/>
  <c r="C713" i="1"/>
  <c r="D713" i="1"/>
  <c r="E713" i="1"/>
  <c r="F713" i="1"/>
  <c r="G713" i="1"/>
  <c r="H713" i="1"/>
  <c r="I713" i="1"/>
  <c r="J713" i="1"/>
  <c r="B714" i="1"/>
  <c r="C714" i="1"/>
  <c r="D714" i="1"/>
  <c r="E714" i="1"/>
  <c r="F714" i="1"/>
  <c r="G714" i="1"/>
  <c r="H714" i="1"/>
  <c r="I714" i="1"/>
  <c r="J714" i="1"/>
  <c r="B715" i="1"/>
  <c r="C715" i="1"/>
  <c r="D715" i="1"/>
  <c r="E715" i="1"/>
  <c r="F715" i="1"/>
  <c r="G715" i="1"/>
  <c r="H715" i="1"/>
  <c r="I715" i="1"/>
  <c r="J715" i="1"/>
  <c r="B716" i="1"/>
  <c r="C716" i="1"/>
  <c r="D716" i="1"/>
  <c r="E716" i="1"/>
  <c r="F716" i="1"/>
  <c r="G716" i="1"/>
  <c r="H716" i="1"/>
  <c r="I716" i="1"/>
  <c r="J716" i="1"/>
  <c r="B717" i="1"/>
  <c r="C717" i="1"/>
  <c r="D717" i="1"/>
  <c r="E717" i="1"/>
  <c r="F717" i="1"/>
  <c r="G717" i="1"/>
  <c r="H717" i="1"/>
  <c r="I717" i="1"/>
  <c r="J717" i="1"/>
  <c r="B718" i="1"/>
  <c r="C718" i="1"/>
  <c r="D718" i="1"/>
  <c r="E718" i="1"/>
  <c r="F718" i="1"/>
  <c r="G718" i="1"/>
  <c r="H718" i="1"/>
  <c r="I718" i="1"/>
  <c r="J718" i="1"/>
  <c r="B719" i="1"/>
  <c r="C719" i="1"/>
  <c r="D719" i="1"/>
  <c r="E719" i="1"/>
  <c r="F719" i="1"/>
  <c r="G719" i="1"/>
  <c r="H719" i="1"/>
  <c r="I719" i="1"/>
  <c r="J719" i="1"/>
  <c r="B720" i="1"/>
  <c r="C720" i="1"/>
  <c r="D720" i="1"/>
  <c r="E720" i="1"/>
  <c r="F720" i="1"/>
  <c r="G720" i="1"/>
  <c r="H720" i="1"/>
  <c r="I720" i="1"/>
  <c r="J720" i="1"/>
  <c r="B721" i="1"/>
  <c r="C721" i="1"/>
  <c r="D721" i="1"/>
  <c r="E721" i="1"/>
  <c r="F721" i="1"/>
  <c r="G721" i="1"/>
  <c r="H721" i="1"/>
  <c r="I721" i="1"/>
  <c r="J721" i="1"/>
  <c r="B722" i="1"/>
  <c r="C722" i="1"/>
  <c r="D722" i="1"/>
  <c r="E722" i="1"/>
  <c r="F722" i="1"/>
  <c r="G722" i="1"/>
  <c r="H722" i="1"/>
  <c r="I722" i="1"/>
  <c r="J722" i="1"/>
  <c r="B723" i="1"/>
  <c r="C723" i="1"/>
  <c r="D723" i="1"/>
  <c r="E723" i="1"/>
  <c r="F723" i="1"/>
  <c r="G723" i="1"/>
  <c r="H723" i="1"/>
  <c r="I723" i="1"/>
  <c r="J723" i="1"/>
  <c r="B724" i="1"/>
  <c r="C724" i="1"/>
  <c r="D724" i="1"/>
  <c r="E724" i="1"/>
  <c r="F724" i="1"/>
  <c r="G724" i="1"/>
  <c r="H724" i="1"/>
  <c r="I724" i="1"/>
  <c r="J724" i="1"/>
  <c r="B725" i="1"/>
  <c r="C725" i="1"/>
  <c r="D725" i="1"/>
  <c r="E725" i="1"/>
  <c r="F725" i="1"/>
  <c r="G725" i="1"/>
  <c r="H725" i="1"/>
  <c r="I725" i="1"/>
  <c r="J725" i="1"/>
  <c r="B726" i="1"/>
  <c r="C726" i="1"/>
  <c r="D726" i="1"/>
  <c r="E726" i="1"/>
  <c r="F726" i="1"/>
  <c r="G726" i="1"/>
  <c r="H726" i="1"/>
  <c r="I726" i="1"/>
  <c r="J726" i="1"/>
  <c r="B727" i="1"/>
  <c r="C727" i="1"/>
  <c r="D727" i="1"/>
  <c r="E727" i="1"/>
  <c r="F727" i="1"/>
  <c r="G727" i="1"/>
  <c r="H727" i="1"/>
  <c r="I727" i="1"/>
  <c r="J727" i="1"/>
  <c r="B728" i="1"/>
  <c r="C728" i="1"/>
  <c r="D728" i="1"/>
  <c r="E728" i="1"/>
  <c r="F728" i="1"/>
  <c r="G728" i="1"/>
  <c r="H728" i="1"/>
  <c r="I728" i="1"/>
  <c r="J728" i="1"/>
  <c r="B729" i="1"/>
  <c r="C729" i="1"/>
  <c r="D729" i="1"/>
  <c r="E729" i="1"/>
  <c r="F729" i="1"/>
  <c r="G729" i="1"/>
  <c r="H729" i="1"/>
  <c r="I729" i="1"/>
  <c r="J729" i="1"/>
  <c r="B730" i="1"/>
  <c r="C730" i="1"/>
  <c r="D730" i="1"/>
  <c r="E730" i="1"/>
  <c r="F730" i="1"/>
  <c r="G730" i="1"/>
  <c r="H730" i="1"/>
  <c r="I730" i="1"/>
  <c r="J730" i="1"/>
  <c r="B731" i="1"/>
  <c r="C731" i="1"/>
  <c r="D731" i="1"/>
  <c r="E731" i="1"/>
  <c r="F731" i="1"/>
  <c r="G731" i="1"/>
  <c r="H731" i="1"/>
  <c r="I731" i="1"/>
  <c r="J731" i="1"/>
  <c r="B732" i="1"/>
  <c r="C732" i="1"/>
  <c r="D732" i="1"/>
  <c r="E732" i="1"/>
  <c r="F732" i="1"/>
  <c r="G732" i="1"/>
  <c r="H732" i="1"/>
  <c r="I732" i="1"/>
  <c r="J732" i="1"/>
  <c r="B733" i="1"/>
  <c r="C733" i="1"/>
  <c r="D733" i="1"/>
  <c r="E733" i="1"/>
  <c r="F733" i="1"/>
  <c r="G733" i="1"/>
  <c r="H733" i="1"/>
  <c r="I733" i="1"/>
  <c r="J733" i="1"/>
  <c r="B734" i="1"/>
  <c r="C734" i="1"/>
  <c r="D734" i="1"/>
  <c r="E734" i="1"/>
  <c r="F734" i="1"/>
  <c r="G734" i="1"/>
  <c r="H734" i="1"/>
  <c r="I734" i="1"/>
  <c r="J734" i="1"/>
  <c r="B735" i="1"/>
  <c r="C735" i="1"/>
  <c r="D735" i="1"/>
  <c r="E735" i="1"/>
  <c r="F735" i="1"/>
  <c r="G735" i="1"/>
  <c r="H735" i="1"/>
  <c r="I735" i="1"/>
  <c r="J735" i="1"/>
  <c r="B736" i="1"/>
  <c r="C736" i="1"/>
  <c r="D736" i="1"/>
  <c r="E736" i="1"/>
  <c r="F736" i="1"/>
  <c r="G736" i="1"/>
  <c r="H736" i="1"/>
  <c r="I736" i="1"/>
  <c r="J736" i="1"/>
  <c r="B737" i="1"/>
  <c r="C737" i="1"/>
  <c r="D737" i="1"/>
  <c r="E737" i="1"/>
  <c r="F737" i="1"/>
  <c r="G737" i="1"/>
  <c r="H737" i="1"/>
  <c r="I737" i="1"/>
  <c r="J737" i="1"/>
  <c r="B738" i="1"/>
  <c r="C738" i="1"/>
  <c r="D738" i="1"/>
  <c r="E738" i="1"/>
  <c r="F738" i="1"/>
  <c r="G738" i="1"/>
  <c r="H738" i="1"/>
  <c r="I738" i="1"/>
  <c r="J738" i="1"/>
  <c r="B739" i="1"/>
  <c r="C739" i="1"/>
  <c r="D739" i="1"/>
  <c r="E739" i="1"/>
  <c r="F739" i="1"/>
  <c r="G739" i="1"/>
  <c r="H739" i="1"/>
  <c r="I739" i="1"/>
  <c r="J739" i="1"/>
  <c r="B740" i="1"/>
  <c r="C740" i="1"/>
  <c r="D740" i="1"/>
  <c r="E740" i="1"/>
  <c r="F740" i="1"/>
  <c r="G740" i="1"/>
  <c r="H740" i="1"/>
  <c r="I740" i="1"/>
  <c r="J740" i="1"/>
  <c r="B741" i="1"/>
  <c r="C741" i="1"/>
  <c r="D741" i="1"/>
  <c r="E741" i="1"/>
  <c r="F741" i="1"/>
  <c r="G741" i="1"/>
  <c r="H741" i="1"/>
  <c r="I741" i="1"/>
  <c r="J741" i="1"/>
  <c r="B742" i="1"/>
  <c r="C742" i="1"/>
  <c r="D742" i="1"/>
  <c r="E742" i="1"/>
  <c r="F742" i="1"/>
  <c r="G742" i="1"/>
  <c r="H742" i="1"/>
  <c r="I742" i="1"/>
  <c r="J742" i="1"/>
  <c r="B743" i="1"/>
  <c r="C743" i="1"/>
  <c r="D743" i="1"/>
  <c r="E743" i="1"/>
  <c r="F743" i="1"/>
  <c r="G743" i="1"/>
  <c r="H743" i="1"/>
  <c r="I743" i="1"/>
  <c r="J743" i="1"/>
  <c r="B744" i="1"/>
  <c r="C744" i="1"/>
  <c r="D744" i="1"/>
  <c r="E744" i="1"/>
  <c r="F744" i="1"/>
  <c r="G744" i="1"/>
  <c r="H744" i="1"/>
  <c r="I744" i="1"/>
  <c r="J744" i="1"/>
  <c r="B745" i="1"/>
  <c r="C745" i="1"/>
  <c r="D745" i="1"/>
  <c r="E745" i="1"/>
  <c r="F745" i="1"/>
  <c r="G745" i="1"/>
  <c r="H745" i="1"/>
  <c r="I745" i="1"/>
  <c r="J745" i="1"/>
  <c r="B746" i="1"/>
  <c r="C746" i="1"/>
  <c r="D746" i="1"/>
  <c r="E746" i="1"/>
  <c r="F746" i="1"/>
  <c r="G746" i="1"/>
  <c r="H746" i="1"/>
  <c r="I746" i="1"/>
  <c r="J746" i="1"/>
  <c r="B747" i="1"/>
  <c r="C747" i="1"/>
  <c r="D747" i="1"/>
  <c r="E747" i="1"/>
  <c r="F747" i="1"/>
  <c r="G747" i="1"/>
  <c r="H747" i="1"/>
  <c r="I747" i="1"/>
  <c r="J747" i="1"/>
  <c r="B748" i="1"/>
  <c r="C748" i="1"/>
  <c r="D748" i="1"/>
  <c r="E748" i="1"/>
  <c r="F748" i="1"/>
  <c r="G748" i="1"/>
  <c r="H748" i="1"/>
  <c r="I748" i="1"/>
  <c r="J748" i="1"/>
  <c r="B749" i="1"/>
  <c r="C749" i="1"/>
  <c r="D749" i="1"/>
  <c r="E749" i="1"/>
  <c r="F749" i="1"/>
  <c r="G749" i="1"/>
  <c r="H749" i="1"/>
  <c r="I749" i="1"/>
  <c r="J749" i="1"/>
  <c r="B750" i="1"/>
  <c r="C750" i="1"/>
  <c r="D750" i="1"/>
  <c r="E750" i="1"/>
  <c r="F750" i="1"/>
  <c r="G750" i="1"/>
  <c r="H750" i="1"/>
  <c r="I750" i="1"/>
  <c r="J750" i="1"/>
  <c r="B751" i="1"/>
  <c r="C751" i="1"/>
  <c r="D751" i="1"/>
  <c r="E751" i="1"/>
  <c r="F751" i="1"/>
  <c r="G751" i="1"/>
  <c r="H751" i="1"/>
  <c r="I751" i="1"/>
  <c r="J751" i="1"/>
  <c r="B752" i="1"/>
  <c r="C752" i="1"/>
  <c r="D752" i="1"/>
  <c r="E752" i="1"/>
  <c r="F752" i="1"/>
  <c r="G752" i="1"/>
  <c r="H752" i="1"/>
  <c r="I752" i="1"/>
  <c r="J752" i="1"/>
  <c r="B753" i="1"/>
  <c r="C753" i="1"/>
  <c r="D753" i="1"/>
  <c r="E753" i="1"/>
  <c r="F753" i="1"/>
  <c r="G753" i="1"/>
  <c r="H753" i="1"/>
  <c r="I753" i="1"/>
  <c r="J753" i="1"/>
  <c r="B754" i="1"/>
  <c r="C754" i="1"/>
  <c r="D754" i="1"/>
  <c r="E754" i="1"/>
  <c r="F754" i="1"/>
  <c r="G754" i="1"/>
  <c r="H754" i="1"/>
  <c r="I754" i="1"/>
  <c r="J754" i="1"/>
  <c r="B755" i="1"/>
  <c r="C755" i="1"/>
  <c r="D755" i="1"/>
  <c r="E755" i="1"/>
  <c r="F755" i="1"/>
  <c r="G755" i="1"/>
  <c r="H755" i="1"/>
  <c r="I755" i="1"/>
  <c r="J755" i="1"/>
  <c r="B756" i="1"/>
  <c r="C756" i="1"/>
  <c r="D756" i="1"/>
  <c r="E756" i="1"/>
  <c r="F756" i="1"/>
  <c r="G756" i="1"/>
  <c r="H756" i="1"/>
  <c r="I756" i="1"/>
  <c r="J756" i="1"/>
  <c r="B757" i="1"/>
  <c r="C757" i="1"/>
  <c r="D757" i="1"/>
  <c r="E757" i="1"/>
  <c r="F757" i="1"/>
  <c r="G757" i="1"/>
  <c r="H757" i="1"/>
  <c r="I757" i="1"/>
  <c r="J757" i="1"/>
  <c r="B758" i="1"/>
  <c r="C758" i="1"/>
  <c r="D758" i="1"/>
  <c r="E758" i="1"/>
  <c r="F758" i="1"/>
  <c r="G758" i="1"/>
  <c r="H758" i="1"/>
  <c r="I758" i="1"/>
  <c r="J758" i="1"/>
  <c r="B759" i="1"/>
  <c r="C759" i="1"/>
  <c r="D759" i="1"/>
  <c r="E759" i="1"/>
  <c r="F759" i="1"/>
  <c r="G759" i="1"/>
  <c r="H759" i="1"/>
  <c r="I759" i="1"/>
  <c r="J759" i="1"/>
  <c r="B760" i="1"/>
  <c r="C760" i="1"/>
  <c r="D760" i="1"/>
  <c r="E760" i="1"/>
  <c r="F760" i="1"/>
  <c r="G760" i="1"/>
  <c r="H760" i="1"/>
  <c r="I760" i="1"/>
  <c r="J760" i="1"/>
  <c r="B761" i="1"/>
  <c r="C761" i="1"/>
  <c r="D761" i="1"/>
  <c r="E761" i="1"/>
  <c r="F761" i="1"/>
  <c r="G761" i="1"/>
  <c r="H761" i="1"/>
  <c r="I761" i="1"/>
  <c r="J761" i="1"/>
  <c r="B762" i="1"/>
  <c r="C762" i="1"/>
  <c r="D762" i="1"/>
  <c r="E762" i="1"/>
  <c r="F762" i="1"/>
  <c r="G762" i="1"/>
  <c r="H762" i="1"/>
  <c r="I762" i="1"/>
  <c r="J762" i="1"/>
  <c r="B763" i="1"/>
  <c r="C763" i="1"/>
  <c r="D763" i="1"/>
  <c r="E763" i="1"/>
  <c r="F763" i="1"/>
  <c r="G763" i="1"/>
  <c r="H763" i="1"/>
  <c r="I763" i="1"/>
  <c r="J763" i="1"/>
  <c r="B764" i="1"/>
  <c r="C764" i="1"/>
  <c r="D764" i="1"/>
  <c r="E764" i="1"/>
  <c r="F764" i="1"/>
  <c r="G764" i="1"/>
  <c r="H764" i="1"/>
  <c r="I764" i="1"/>
  <c r="J764" i="1"/>
  <c r="B765" i="1"/>
  <c r="C765" i="1"/>
  <c r="D765" i="1"/>
  <c r="E765" i="1"/>
  <c r="F765" i="1"/>
  <c r="G765" i="1"/>
  <c r="H765" i="1"/>
  <c r="I765" i="1"/>
  <c r="J765" i="1"/>
  <c r="B766" i="1"/>
  <c r="C766" i="1"/>
  <c r="D766" i="1"/>
  <c r="E766" i="1"/>
  <c r="F766" i="1"/>
  <c r="G766" i="1"/>
  <c r="H766" i="1"/>
  <c r="I766" i="1"/>
  <c r="J766" i="1"/>
  <c r="B767" i="1"/>
  <c r="C767" i="1"/>
  <c r="D767" i="1"/>
  <c r="E767" i="1"/>
  <c r="F767" i="1"/>
  <c r="G767" i="1"/>
  <c r="H767" i="1"/>
  <c r="I767" i="1"/>
  <c r="J767" i="1"/>
  <c r="B768" i="1"/>
  <c r="C768" i="1"/>
  <c r="D768" i="1"/>
  <c r="E768" i="1"/>
  <c r="F768" i="1"/>
  <c r="G768" i="1"/>
  <c r="H768" i="1"/>
  <c r="I768" i="1"/>
  <c r="J768" i="1"/>
  <c r="B769" i="1"/>
  <c r="C769" i="1"/>
  <c r="D769" i="1"/>
  <c r="E769" i="1"/>
  <c r="F769" i="1"/>
  <c r="G769" i="1"/>
  <c r="H769" i="1"/>
  <c r="I769" i="1"/>
  <c r="J769" i="1"/>
  <c r="B770" i="1"/>
  <c r="C770" i="1"/>
  <c r="D770" i="1"/>
  <c r="E770" i="1"/>
  <c r="F770" i="1"/>
  <c r="G770" i="1"/>
  <c r="H770" i="1"/>
  <c r="I770" i="1"/>
  <c r="J770" i="1"/>
  <c r="B771" i="1"/>
  <c r="C771" i="1"/>
  <c r="D771" i="1"/>
  <c r="E771" i="1"/>
  <c r="F771" i="1"/>
  <c r="G771" i="1"/>
  <c r="H771" i="1"/>
  <c r="I771" i="1"/>
  <c r="J771" i="1"/>
  <c r="B772" i="1"/>
  <c r="C772" i="1"/>
  <c r="D772" i="1"/>
  <c r="E772" i="1"/>
  <c r="F772" i="1"/>
  <c r="G772" i="1"/>
  <c r="H772" i="1"/>
  <c r="I772" i="1"/>
  <c r="J772" i="1"/>
  <c r="B773" i="1"/>
  <c r="C773" i="1"/>
  <c r="D773" i="1"/>
  <c r="E773" i="1"/>
  <c r="F773" i="1"/>
  <c r="G773" i="1"/>
  <c r="H773" i="1"/>
  <c r="I773" i="1"/>
  <c r="J773" i="1"/>
  <c r="B774" i="1"/>
  <c r="C774" i="1"/>
  <c r="D774" i="1"/>
  <c r="E774" i="1"/>
  <c r="F774" i="1"/>
  <c r="G774" i="1"/>
  <c r="H774" i="1"/>
  <c r="I774" i="1"/>
  <c r="J774" i="1"/>
  <c r="B775" i="1"/>
  <c r="C775" i="1"/>
  <c r="D775" i="1"/>
  <c r="E775" i="1"/>
  <c r="F775" i="1"/>
  <c r="G775" i="1"/>
  <c r="H775" i="1"/>
  <c r="I775" i="1"/>
  <c r="J775" i="1"/>
  <c r="B776" i="1"/>
  <c r="C776" i="1"/>
  <c r="D776" i="1"/>
  <c r="E776" i="1"/>
  <c r="F776" i="1"/>
  <c r="G776" i="1"/>
  <c r="H776" i="1"/>
  <c r="I776" i="1"/>
  <c r="J776" i="1"/>
  <c r="B777" i="1"/>
  <c r="C777" i="1"/>
  <c r="D777" i="1"/>
  <c r="E777" i="1"/>
  <c r="F777" i="1"/>
  <c r="G777" i="1"/>
  <c r="H777" i="1"/>
  <c r="I777" i="1"/>
  <c r="J777" i="1"/>
  <c r="B778" i="1"/>
  <c r="C778" i="1"/>
  <c r="D778" i="1"/>
  <c r="E778" i="1"/>
  <c r="F778" i="1"/>
  <c r="G778" i="1"/>
  <c r="H778" i="1"/>
  <c r="I778" i="1"/>
  <c r="J778" i="1"/>
  <c r="B779" i="1"/>
  <c r="C779" i="1"/>
  <c r="D779" i="1"/>
  <c r="E779" i="1"/>
  <c r="F779" i="1"/>
  <c r="G779" i="1"/>
  <c r="H779" i="1"/>
  <c r="I779" i="1"/>
  <c r="J779" i="1"/>
  <c r="B780" i="1"/>
  <c r="C780" i="1"/>
  <c r="D780" i="1"/>
  <c r="E780" i="1"/>
  <c r="F780" i="1"/>
  <c r="G780" i="1"/>
  <c r="H780" i="1"/>
  <c r="I780" i="1"/>
  <c r="J780" i="1"/>
  <c r="B781" i="1"/>
  <c r="C781" i="1"/>
  <c r="D781" i="1"/>
  <c r="E781" i="1"/>
  <c r="F781" i="1"/>
  <c r="G781" i="1"/>
  <c r="H781" i="1"/>
  <c r="I781" i="1"/>
  <c r="J781" i="1"/>
  <c r="B782" i="1"/>
  <c r="C782" i="1"/>
  <c r="D782" i="1"/>
  <c r="E782" i="1"/>
  <c r="F782" i="1"/>
  <c r="G782" i="1"/>
  <c r="H782" i="1"/>
  <c r="I782" i="1"/>
  <c r="J782" i="1"/>
  <c r="B783" i="1"/>
  <c r="C783" i="1"/>
  <c r="D783" i="1"/>
  <c r="E783" i="1"/>
  <c r="F783" i="1"/>
  <c r="G783" i="1"/>
  <c r="H783" i="1"/>
  <c r="I783" i="1"/>
  <c r="J783" i="1"/>
  <c r="B784" i="1"/>
  <c r="C784" i="1"/>
  <c r="D784" i="1"/>
  <c r="E784" i="1"/>
  <c r="F784" i="1"/>
  <c r="G784" i="1"/>
  <c r="H784" i="1"/>
  <c r="I784" i="1"/>
  <c r="J784" i="1"/>
  <c r="B785" i="1"/>
  <c r="C785" i="1"/>
  <c r="D785" i="1"/>
  <c r="E785" i="1"/>
  <c r="F785" i="1"/>
  <c r="G785" i="1"/>
  <c r="H785" i="1"/>
  <c r="I785" i="1"/>
  <c r="J785" i="1"/>
  <c r="B786" i="1"/>
  <c r="C786" i="1"/>
  <c r="D786" i="1"/>
  <c r="E786" i="1"/>
  <c r="F786" i="1"/>
  <c r="G786" i="1"/>
  <c r="H786" i="1"/>
  <c r="I786" i="1"/>
  <c r="J786" i="1"/>
  <c r="B787" i="1"/>
  <c r="C787" i="1"/>
  <c r="D787" i="1"/>
  <c r="E787" i="1"/>
  <c r="F787" i="1"/>
  <c r="G787" i="1"/>
  <c r="H787" i="1"/>
  <c r="I787" i="1"/>
  <c r="J787" i="1"/>
  <c r="B788" i="1"/>
  <c r="C788" i="1"/>
  <c r="D788" i="1"/>
  <c r="E788" i="1"/>
  <c r="F788" i="1"/>
  <c r="G788" i="1"/>
  <c r="H788" i="1"/>
  <c r="I788" i="1"/>
  <c r="J788" i="1"/>
  <c r="B789" i="1"/>
  <c r="C789" i="1"/>
  <c r="D789" i="1"/>
  <c r="E789" i="1"/>
  <c r="F789" i="1"/>
  <c r="G789" i="1"/>
  <c r="H789" i="1"/>
  <c r="I789" i="1"/>
  <c r="J789" i="1"/>
  <c r="B790" i="1"/>
  <c r="C790" i="1"/>
  <c r="D790" i="1"/>
  <c r="E790" i="1"/>
  <c r="F790" i="1"/>
  <c r="G790" i="1"/>
  <c r="H790" i="1"/>
  <c r="I790" i="1"/>
  <c r="J790" i="1"/>
  <c r="B791" i="1"/>
  <c r="C791" i="1"/>
  <c r="D791" i="1"/>
  <c r="E791" i="1"/>
  <c r="F791" i="1"/>
  <c r="G791" i="1"/>
  <c r="H791" i="1"/>
  <c r="I791" i="1"/>
  <c r="J791" i="1"/>
  <c r="B792" i="1"/>
  <c r="C792" i="1"/>
  <c r="D792" i="1"/>
  <c r="E792" i="1"/>
  <c r="F792" i="1"/>
  <c r="G792" i="1"/>
  <c r="H792" i="1"/>
  <c r="I792" i="1"/>
  <c r="J792" i="1"/>
  <c r="B793" i="1"/>
  <c r="C793" i="1"/>
  <c r="D793" i="1"/>
  <c r="E793" i="1"/>
  <c r="F793" i="1"/>
  <c r="G793" i="1"/>
  <c r="H793" i="1"/>
  <c r="I793" i="1"/>
  <c r="J793" i="1"/>
  <c r="B794" i="1"/>
  <c r="C794" i="1"/>
  <c r="D794" i="1"/>
  <c r="E794" i="1"/>
  <c r="F794" i="1"/>
  <c r="G794" i="1"/>
  <c r="H794" i="1"/>
  <c r="I794" i="1"/>
  <c r="J794" i="1"/>
  <c r="B795" i="1"/>
  <c r="C795" i="1"/>
  <c r="D795" i="1"/>
  <c r="E795" i="1"/>
  <c r="F795" i="1"/>
  <c r="G795" i="1"/>
  <c r="H795" i="1"/>
  <c r="I795" i="1"/>
  <c r="J795" i="1"/>
  <c r="B796" i="1"/>
  <c r="C796" i="1"/>
  <c r="D796" i="1"/>
  <c r="E796" i="1"/>
  <c r="F796" i="1"/>
  <c r="G796" i="1"/>
  <c r="H796" i="1"/>
  <c r="I796" i="1"/>
  <c r="J796" i="1"/>
  <c r="B797" i="1"/>
  <c r="C797" i="1"/>
  <c r="D797" i="1"/>
  <c r="E797" i="1"/>
  <c r="F797" i="1"/>
  <c r="G797" i="1"/>
  <c r="H797" i="1"/>
  <c r="I797" i="1"/>
  <c r="J797" i="1"/>
  <c r="B798" i="1"/>
  <c r="C798" i="1"/>
  <c r="D798" i="1"/>
  <c r="E798" i="1"/>
  <c r="F798" i="1"/>
  <c r="G798" i="1"/>
  <c r="H798" i="1"/>
  <c r="I798" i="1"/>
  <c r="J798" i="1"/>
  <c r="B799" i="1"/>
  <c r="C799" i="1"/>
  <c r="D799" i="1"/>
  <c r="E799" i="1"/>
  <c r="F799" i="1"/>
  <c r="G799" i="1"/>
  <c r="H799" i="1"/>
  <c r="I799" i="1"/>
  <c r="J799" i="1"/>
  <c r="B800" i="1"/>
  <c r="C800" i="1"/>
  <c r="D800" i="1"/>
  <c r="E800" i="1"/>
  <c r="F800" i="1"/>
  <c r="G800" i="1"/>
  <c r="H800" i="1"/>
  <c r="I800" i="1"/>
  <c r="J800" i="1"/>
  <c r="B801" i="1"/>
  <c r="C801" i="1"/>
  <c r="D801" i="1"/>
  <c r="E801" i="1"/>
  <c r="F801" i="1"/>
  <c r="G801" i="1"/>
  <c r="H801" i="1"/>
  <c r="I801" i="1"/>
  <c r="J801" i="1"/>
  <c r="B802" i="1"/>
  <c r="C802" i="1"/>
  <c r="D802" i="1"/>
  <c r="E802" i="1"/>
  <c r="F802" i="1"/>
  <c r="G802" i="1"/>
  <c r="H802" i="1"/>
  <c r="I802" i="1"/>
  <c r="J802" i="1"/>
  <c r="B803" i="1"/>
  <c r="C803" i="1"/>
  <c r="D803" i="1"/>
  <c r="E803" i="1"/>
  <c r="F803" i="1"/>
  <c r="G803" i="1"/>
  <c r="H803" i="1"/>
  <c r="I803" i="1"/>
  <c r="J803" i="1"/>
  <c r="B804" i="1"/>
  <c r="C804" i="1"/>
  <c r="D804" i="1"/>
  <c r="E804" i="1"/>
  <c r="F804" i="1"/>
  <c r="G804" i="1"/>
  <c r="H804" i="1"/>
  <c r="I804" i="1"/>
  <c r="J804" i="1"/>
  <c r="B805" i="1"/>
  <c r="C805" i="1"/>
  <c r="D805" i="1"/>
  <c r="E805" i="1"/>
  <c r="F805" i="1"/>
  <c r="G805" i="1"/>
  <c r="H805" i="1"/>
  <c r="I805" i="1"/>
  <c r="J805" i="1"/>
  <c r="B806" i="1"/>
  <c r="C806" i="1"/>
  <c r="D806" i="1"/>
  <c r="E806" i="1"/>
  <c r="F806" i="1"/>
  <c r="G806" i="1"/>
  <c r="H806" i="1"/>
  <c r="I806" i="1"/>
  <c r="J806" i="1"/>
  <c r="B807" i="1"/>
  <c r="C807" i="1"/>
  <c r="D807" i="1"/>
  <c r="E807" i="1"/>
  <c r="F807" i="1"/>
  <c r="G807" i="1"/>
  <c r="H807" i="1"/>
  <c r="I807" i="1"/>
  <c r="J807" i="1"/>
  <c r="B808" i="1"/>
  <c r="C808" i="1"/>
  <c r="D808" i="1"/>
  <c r="E808" i="1"/>
  <c r="F808" i="1"/>
  <c r="G808" i="1"/>
  <c r="H808" i="1"/>
  <c r="I808" i="1"/>
  <c r="J808" i="1"/>
  <c r="B809" i="1"/>
  <c r="C809" i="1"/>
  <c r="D809" i="1"/>
  <c r="E809" i="1"/>
  <c r="F809" i="1"/>
  <c r="G809" i="1"/>
  <c r="H809" i="1"/>
  <c r="I809" i="1"/>
  <c r="J809" i="1"/>
  <c r="B810" i="1"/>
  <c r="C810" i="1"/>
  <c r="D810" i="1"/>
  <c r="E810" i="1"/>
  <c r="F810" i="1"/>
  <c r="G810" i="1"/>
  <c r="H810" i="1"/>
  <c r="I810" i="1"/>
  <c r="J810" i="1"/>
  <c r="B811" i="1"/>
  <c r="C811" i="1"/>
  <c r="D811" i="1"/>
  <c r="E811" i="1"/>
  <c r="F811" i="1"/>
  <c r="G811" i="1"/>
  <c r="H811" i="1"/>
  <c r="I811" i="1"/>
  <c r="J811" i="1"/>
  <c r="B812" i="1"/>
  <c r="C812" i="1"/>
  <c r="D812" i="1"/>
  <c r="E812" i="1"/>
  <c r="F812" i="1"/>
  <c r="G812" i="1"/>
  <c r="H812" i="1"/>
  <c r="I812" i="1"/>
  <c r="J812" i="1"/>
  <c r="B813" i="1"/>
  <c r="C813" i="1"/>
  <c r="D813" i="1"/>
  <c r="E813" i="1"/>
  <c r="F813" i="1"/>
  <c r="G813" i="1"/>
  <c r="H813" i="1"/>
  <c r="I813" i="1"/>
  <c r="J813" i="1"/>
  <c r="B814" i="1"/>
  <c r="C814" i="1"/>
  <c r="D814" i="1"/>
  <c r="E814" i="1"/>
  <c r="F814" i="1"/>
  <c r="G814" i="1"/>
  <c r="H814" i="1"/>
  <c r="I814" i="1"/>
  <c r="J814" i="1"/>
  <c r="B815" i="1"/>
  <c r="C815" i="1"/>
  <c r="D815" i="1"/>
  <c r="E815" i="1"/>
  <c r="F815" i="1"/>
  <c r="G815" i="1"/>
  <c r="H815" i="1"/>
  <c r="I815" i="1"/>
  <c r="J815" i="1"/>
  <c r="B816" i="1"/>
  <c r="C816" i="1"/>
  <c r="D816" i="1"/>
  <c r="E816" i="1"/>
  <c r="F816" i="1"/>
  <c r="G816" i="1"/>
  <c r="H816" i="1"/>
  <c r="I816" i="1"/>
  <c r="J816" i="1"/>
  <c r="B817" i="1"/>
  <c r="C817" i="1"/>
  <c r="D817" i="1"/>
  <c r="E817" i="1"/>
  <c r="F817" i="1"/>
  <c r="G817" i="1"/>
  <c r="H817" i="1"/>
  <c r="I817" i="1"/>
  <c r="J817" i="1"/>
  <c r="B818" i="1"/>
  <c r="C818" i="1"/>
  <c r="D818" i="1"/>
  <c r="E818" i="1"/>
  <c r="F818" i="1"/>
  <c r="G818" i="1"/>
  <c r="H818" i="1"/>
  <c r="I818" i="1"/>
  <c r="J818" i="1"/>
  <c r="B819" i="1"/>
  <c r="C819" i="1"/>
  <c r="D819" i="1"/>
  <c r="E819" i="1"/>
  <c r="F819" i="1"/>
  <c r="G819" i="1"/>
  <c r="H819" i="1"/>
  <c r="I819" i="1"/>
  <c r="J819" i="1"/>
  <c r="B820" i="1"/>
  <c r="C820" i="1"/>
  <c r="D820" i="1"/>
  <c r="E820" i="1"/>
  <c r="F820" i="1"/>
  <c r="G820" i="1"/>
  <c r="H820" i="1"/>
  <c r="I820" i="1"/>
  <c r="J820" i="1"/>
  <c r="B821" i="1"/>
  <c r="C821" i="1"/>
  <c r="D821" i="1"/>
  <c r="E821" i="1"/>
  <c r="F821" i="1"/>
  <c r="G821" i="1"/>
  <c r="H821" i="1"/>
  <c r="I821" i="1"/>
  <c r="J821" i="1"/>
  <c r="B822" i="1"/>
  <c r="C822" i="1"/>
  <c r="D822" i="1"/>
  <c r="E822" i="1"/>
  <c r="F822" i="1"/>
  <c r="G822" i="1"/>
  <c r="H822" i="1"/>
  <c r="I822" i="1"/>
  <c r="J822" i="1"/>
  <c r="B823" i="1"/>
  <c r="C823" i="1"/>
  <c r="D823" i="1"/>
  <c r="E823" i="1"/>
  <c r="F823" i="1"/>
  <c r="G823" i="1"/>
  <c r="H823" i="1"/>
  <c r="I823" i="1"/>
  <c r="J823" i="1"/>
  <c r="B824" i="1"/>
  <c r="C824" i="1"/>
  <c r="D824" i="1"/>
  <c r="E824" i="1"/>
  <c r="F824" i="1"/>
  <c r="G824" i="1"/>
  <c r="H824" i="1"/>
  <c r="I824" i="1"/>
  <c r="J824" i="1"/>
  <c r="B825" i="1"/>
  <c r="C825" i="1"/>
  <c r="D825" i="1"/>
  <c r="E825" i="1"/>
  <c r="F825" i="1"/>
  <c r="G825" i="1"/>
  <c r="H825" i="1"/>
  <c r="I825" i="1"/>
  <c r="J825" i="1"/>
  <c r="B826" i="1"/>
  <c r="C826" i="1"/>
  <c r="D826" i="1"/>
  <c r="E826" i="1"/>
  <c r="F826" i="1"/>
  <c r="G826" i="1"/>
  <c r="H826" i="1"/>
  <c r="I826" i="1"/>
  <c r="J826" i="1"/>
  <c r="B827" i="1"/>
  <c r="C827" i="1"/>
  <c r="D827" i="1"/>
  <c r="E827" i="1"/>
  <c r="F827" i="1"/>
  <c r="G827" i="1"/>
  <c r="H827" i="1"/>
  <c r="I827" i="1"/>
  <c r="J827" i="1"/>
  <c r="B828" i="1"/>
  <c r="C828" i="1"/>
  <c r="D828" i="1"/>
  <c r="E828" i="1"/>
  <c r="F828" i="1"/>
  <c r="G828" i="1"/>
  <c r="H828" i="1"/>
  <c r="I828" i="1"/>
  <c r="J828" i="1"/>
  <c r="B829" i="1"/>
  <c r="C829" i="1"/>
  <c r="D829" i="1"/>
  <c r="E829" i="1"/>
  <c r="F829" i="1"/>
  <c r="G829" i="1"/>
  <c r="H829" i="1"/>
  <c r="I829" i="1"/>
  <c r="J829" i="1"/>
  <c r="B830" i="1"/>
  <c r="C830" i="1"/>
  <c r="D830" i="1"/>
  <c r="E830" i="1"/>
  <c r="F830" i="1"/>
  <c r="G830" i="1"/>
  <c r="H830" i="1"/>
  <c r="I830" i="1"/>
  <c r="J830" i="1"/>
  <c r="B831" i="1"/>
  <c r="C831" i="1"/>
  <c r="D831" i="1"/>
  <c r="E831" i="1"/>
  <c r="F831" i="1"/>
  <c r="G831" i="1"/>
  <c r="H831" i="1"/>
  <c r="I831" i="1"/>
  <c r="J831" i="1"/>
  <c r="B832" i="1"/>
  <c r="C832" i="1"/>
  <c r="D832" i="1"/>
  <c r="E832" i="1"/>
  <c r="F832" i="1"/>
  <c r="G832" i="1"/>
  <c r="H832" i="1"/>
  <c r="I832" i="1"/>
  <c r="J832" i="1"/>
  <c r="B833" i="1"/>
  <c r="C833" i="1"/>
  <c r="D833" i="1"/>
  <c r="E833" i="1"/>
  <c r="F833" i="1"/>
  <c r="G833" i="1"/>
  <c r="H833" i="1"/>
  <c r="I833" i="1"/>
  <c r="J833" i="1"/>
  <c r="B834" i="1"/>
  <c r="C834" i="1"/>
  <c r="D834" i="1"/>
  <c r="E834" i="1"/>
  <c r="F834" i="1"/>
  <c r="G834" i="1"/>
  <c r="H834" i="1"/>
  <c r="I834" i="1"/>
  <c r="J834" i="1"/>
  <c r="B835" i="1"/>
  <c r="C835" i="1"/>
  <c r="D835" i="1"/>
  <c r="E835" i="1"/>
  <c r="F835" i="1"/>
  <c r="G835" i="1"/>
  <c r="H835" i="1"/>
  <c r="I835" i="1"/>
  <c r="J835" i="1"/>
  <c r="B836" i="1"/>
  <c r="C836" i="1"/>
  <c r="D836" i="1"/>
  <c r="E836" i="1"/>
  <c r="F836" i="1"/>
  <c r="G836" i="1"/>
  <c r="H836" i="1"/>
  <c r="I836" i="1"/>
  <c r="J836" i="1"/>
  <c r="B837" i="1"/>
  <c r="C837" i="1"/>
  <c r="D837" i="1"/>
  <c r="E837" i="1"/>
  <c r="F837" i="1"/>
  <c r="G837" i="1"/>
  <c r="H837" i="1"/>
  <c r="I837" i="1"/>
  <c r="J837" i="1"/>
  <c r="B838" i="1"/>
  <c r="C838" i="1"/>
  <c r="D838" i="1"/>
  <c r="E838" i="1"/>
  <c r="F838" i="1"/>
  <c r="G838" i="1"/>
  <c r="H838" i="1"/>
  <c r="I838" i="1"/>
  <c r="J838" i="1"/>
  <c r="B839" i="1"/>
  <c r="C839" i="1"/>
  <c r="D839" i="1"/>
  <c r="E839" i="1"/>
  <c r="F839" i="1"/>
  <c r="G839" i="1"/>
  <c r="H839" i="1"/>
  <c r="I839" i="1"/>
  <c r="J839" i="1"/>
  <c r="B840" i="1"/>
  <c r="C840" i="1"/>
  <c r="D840" i="1"/>
  <c r="E840" i="1"/>
  <c r="F840" i="1"/>
  <c r="G840" i="1"/>
  <c r="H840" i="1"/>
  <c r="I840" i="1"/>
  <c r="J840" i="1"/>
  <c r="B841" i="1"/>
  <c r="C841" i="1"/>
  <c r="D841" i="1"/>
  <c r="E841" i="1"/>
  <c r="F841" i="1"/>
  <c r="G841" i="1"/>
  <c r="H841" i="1"/>
  <c r="I841" i="1"/>
  <c r="J841" i="1"/>
  <c r="B842" i="1"/>
  <c r="C842" i="1"/>
  <c r="D842" i="1"/>
  <c r="E842" i="1"/>
  <c r="F842" i="1"/>
  <c r="G842" i="1"/>
  <c r="H842" i="1"/>
  <c r="I842" i="1"/>
  <c r="J842" i="1"/>
  <c r="B843" i="1"/>
  <c r="C843" i="1"/>
  <c r="D843" i="1"/>
  <c r="E843" i="1"/>
  <c r="F843" i="1"/>
  <c r="G843" i="1"/>
  <c r="H843" i="1"/>
  <c r="I843" i="1"/>
  <c r="J843" i="1"/>
  <c r="B844" i="1"/>
  <c r="C844" i="1"/>
  <c r="D844" i="1"/>
  <c r="E844" i="1"/>
  <c r="F844" i="1"/>
  <c r="G844" i="1"/>
  <c r="H844" i="1"/>
  <c r="I844" i="1"/>
  <c r="J844" i="1"/>
  <c r="B845" i="1"/>
  <c r="C845" i="1"/>
  <c r="D845" i="1"/>
  <c r="E845" i="1"/>
  <c r="F845" i="1"/>
  <c r="G845" i="1"/>
  <c r="H845" i="1"/>
  <c r="I845" i="1"/>
  <c r="J845" i="1"/>
  <c r="B846" i="1"/>
  <c r="C846" i="1"/>
  <c r="D846" i="1"/>
  <c r="E846" i="1"/>
  <c r="F846" i="1"/>
  <c r="G846" i="1"/>
  <c r="H846" i="1"/>
  <c r="I846" i="1"/>
  <c r="J846" i="1"/>
  <c r="B847" i="1"/>
  <c r="C847" i="1"/>
  <c r="D847" i="1"/>
  <c r="E847" i="1"/>
  <c r="F847" i="1"/>
  <c r="G847" i="1"/>
  <c r="H847" i="1"/>
  <c r="I847" i="1"/>
  <c r="J847" i="1"/>
  <c r="B848" i="1"/>
  <c r="C848" i="1"/>
  <c r="D848" i="1"/>
  <c r="E848" i="1"/>
  <c r="F848" i="1"/>
  <c r="G848" i="1"/>
  <c r="H848" i="1"/>
  <c r="I848" i="1"/>
  <c r="J848" i="1"/>
  <c r="B849" i="1"/>
  <c r="C849" i="1"/>
  <c r="D849" i="1"/>
  <c r="E849" i="1"/>
  <c r="F849" i="1"/>
  <c r="G849" i="1"/>
  <c r="H849" i="1"/>
  <c r="I849" i="1"/>
  <c r="J849" i="1"/>
  <c r="B850" i="1"/>
  <c r="C850" i="1"/>
  <c r="D850" i="1"/>
  <c r="E850" i="1"/>
  <c r="F850" i="1"/>
  <c r="G850" i="1"/>
  <c r="H850" i="1"/>
  <c r="I850" i="1"/>
  <c r="J850" i="1"/>
  <c r="B851" i="1"/>
  <c r="C851" i="1"/>
  <c r="D851" i="1"/>
  <c r="E851" i="1"/>
  <c r="F851" i="1"/>
  <c r="G851" i="1"/>
  <c r="H851" i="1"/>
  <c r="I851" i="1"/>
  <c r="J851" i="1"/>
  <c r="B852" i="1"/>
  <c r="C852" i="1"/>
  <c r="D852" i="1"/>
  <c r="E852" i="1"/>
  <c r="F852" i="1"/>
  <c r="G852" i="1"/>
  <c r="H852" i="1"/>
  <c r="I852" i="1"/>
  <c r="J852" i="1"/>
  <c r="B853" i="1"/>
  <c r="C853" i="1"/>
  <c r="D853" i="1"/>
  <c r="E853" i="1"/>
  <c r="F853" i="1"/>
  <c r="G853" i="1"/>
  <c r="H853" i="1"/>
  <c r="I853" i="1"/>
  <c r="J853" i="1"/>
  <c r="B854" i="1"/>
  <c r="C854" i="1"/>
  <c r="D854" i="1"/>
  <c r="E854" i="1"/>
  <c r="F854" i="1"/>
  <c r="G854" i="1"/>
  <c r="H854" i="1"/>
  <c r="I854" i="1"/>
  <c r="J854" i="1"/>
  <c r="B855" i="1"/>
  <c r="C855" i="1"/>
  <c r="D855" i="1"/>
  <c r="E855" i="1"/>
  <c r="F855" i="1"/>
  <c r="G855" i="1"/>
  <c r="H855" i="1"/>
  <c r="I855" i="1"/>
  <c r="J855" i="1"/>
  <c r="B856" i="1"/>
  <c r="C856" i="1"/>
  <c r="D856" i="1"/>
  <c r="E856" i="1"/>
  <c r="F856" i="1"/>
  <c r="G856" i="1"/>
  <c r="H856" i="1"/>
  <c r="I856" i="1"/>
  <c r="J856" i="1"/>
  <c r="B857" i="1"/>
  <c r="C857" i="1"/>
  <c r="D857" i="1"/>
  <c r="E857" i="1"/>
  <c r="F857" i="1"/>
  <c r="G857" i="1"/>
  <c r="H857" i="1"/>
  <c r="I857" i="1"/>
  <c r="J857" i="1"/>
  <c r="B858" i="1"/>
  <c r="C858" i="1"/>
  <c r="D858" i="1"/>
  <c r="E858" i="1"/>
  <c r="F858" i="1"/>
  <c r="G858" i="1"/>
  <c r="H858" i="1"/>
  <c r="I858" i="1"/>
  <c r="J858" i="1"/>
  <c r="B859" i="1"/>
  <c r="C859" i="1"/>
  <c r="D859" i="1"/>
  <c r="E859" i="1"/>
  <c r="F859" i="1"/>
  <c r="G859" i="1"/>
  <c r="H859" i="1"/>
  <c r="I859" i="1"/>
  <c r="J859" i="1"/>
  <c r="B860" i="1"/>
  <c r="C860" i="1"/>
  <c r="D860" i="1"/>
  <c r="E860" i="1"/>
  <c r="F860" i="1"/>
  <c r="G860" i="1"/>
  <c r="H860" i="1"/>
  <c r="I860" i="1"/>
  <c r="J860" i="1"/>
  <c r="B861" i="1"/>
  <c r="C861" i="1"/>
  <c r="D861" i="1"/>
  <c r="E861" i="1"/>
  <c r="F861" i="1"/>
  <c r="G861" i="1"/>
  <c r="H861" i="1"/>
  <c r="I861" i="1"/>
  <c r="J861" i="1"/>
  <c r="B862" i="1"/>
  <c r="C862" i="1"/>
  <c r="D862" i="1"/>
  <c r="E862" i="1"/>
  <c r="F862" i="1"/>
  <c r="G862" i="1"/>
  <c r="H862" i="1"/>
  <c r="I862" i="1"/>
  <c r="J862" i="1"/>
  <c r="B863" i="1"/>
  <c r="C863" i="1"/>
  <c r="D863" i="1"/>
  <c r="E863" i="1"/>
  <c r="F863" i="1"/>
  <c r="G863" i="1"/>
  <c r="H863" i="1"/>
  <c r="I863" i="1"/>
  <c r="J863" i="1"/>
  <c r="B864" i="1"/>
  <c r="C864" i="1"/>
  <c r="D864" i="1"/>
  <c r="E864" i="1"/>
  <c r="F864" i="1"/>
  <c r="G864" i="1"/>
  <c r="H864" i="1"/>
  <c r="I864" i="1"/>
  <c r="J864" i="1"/>
  <c r="B865" i="1"/>
  <c r="C865" i="1"/>
  <c r="D865" i="1"/>
  <c r="E865" i="1"/>
  <c r="F865" i="1"/>
  <c r="G865" i="1"/>
  <c r="H865" i="1"/>
  <c r="I865" i="1"/>
  <c r="J865" i="1"/>
  <c r="B866" i="1"/>
  <c r="C866" i="1"/>
  <c r="D866" i="1"/>
  <c r="E866" i="1"/>
  <c r="F866" i="1"/>
  <c r="G866" i="1"/>
  <c r="H866" i="1"/>
  <c r="I866" i="1"/>
  <c r="J866" i="1"/>
  <c r="B867" i="1"/>
  <c r="C867" i="1"/>
  <c r="D867" i="1"/>
  <c r="E867" i="1"/>
  <c r="F867" i="1"/>
  <c r="G867" i="1"/>
  <c r="H867" i="1"/>
  <c r="I867" i="1"/>
  <c r="J867" i="1"/>
  <c r="B868" i="1"/>
  <c r="C868" i="1"/>
  <c r="D868" i="1"/>
  <c r="E868" i="1"/>
  <c r="F868" i="1"/>
  <c r="G868" i="1"/>
  <c r="H868" i="1"/>
  <c r="I868" i="1"/>
  <c r="J868" i="1"/>
  <c r="B869" i="1"/>
  <c r="C869" i="1"/>
  <c r="D869" i="1"/>
  <c r="E869" i="1"/>
  <c r="F869" i="1"/>
  <c r="G869" i="1"/>
  <c r="H869" i="1"/>
  <c r="I869" i="1"/>
  <c r="J869" i="1"/>
  <c r="B870" i="1"/>
  <c r="C870" i="1"/>
  <c r="D870" i="1"/>
  <c r="E870" i="1"/>
  <c r="F870" i="1"/>
  <c r="G870" i="1"/>
  <c r="H870" i="1"/>
  <c r="I870" i="1"/>
  <c r="J870" i="1"/>
  <c r="B871" i="1"/>
  <c r="C871" i="1"/>
  <c r="D871" i="1"/>
  <c r="E871" i="1"/>
  <c r="F871" i="1"/>
  <c r="G871" i="1"/>
  <c r="H871" i="1"/>
  <c r="I871" i="1"/>
  <c r="J871" i="1"/>
  <c r="B872" i="1"/>
  <c r="C872" i="1"/>
  <c r="D872" i="1"/>
  <c r="E872" i="1"/>
  <c r="F872" i="1"/>
  <c r="G872" i="1"/>
  <c r="H872" i="1"/>
  <c r="I872" i="1"/>
  <c r="J872" i="1"/>
  <c r="B873" i="1"/>
  <c r="C873" i="1"/>
  <c r="D873" i="1"/>
  <c r="E873" i="1"/>
  <c r="F873" i="1"/>
  <c r="G873" i="1"/>
  <c r="H873" i="1"/>
  <c r="I873" i="1"/>
  <c r="J873" i="1"/>
  <c r="B874" i="1"/>
  <c r="C874" i="1"/>
  <c r="D874" i="1"/>
  <c r="E874" i="1"/>
  <c r="F874" i="1"/>
  <c r="G874" i="1"/>
  <c r="H874" i="1"/>
  <c r="I874" i="1"/>
  <c r="J874" i="1"/>
  <c r="B875" i="1"/>
  <c r="C875" i="1"/>
  <c r="D875" i="1"/>
  <c r="E875" i="1"/>
  <c r="F875" i="1"/>
  <c r="G875" i="1"/>
  <c r="H875" i="1"/>
  <c r="I875" i="1"/>
  <c r="J875" i="1"/>
  <c r="B876" i="1"/>
  <c r="C876" i="1"/>
  <c r="D876" i="1"/>
  <c r="E876" i="1"/>
  <c r="F876" i="1"/>
  <c r="G876" i="1"/>
  <c r="H876" i="1"/>
  <c r="I876" i="1"/>
  <c r="J876" i="1"/>
  <c r="B877" i="1"/>
  <c r="C877" i="1"/>
  <c r="D877" i="1"/>
  <c r="E877" i="1"/>
  <c r="F877" i="1"/>
  <c r="G877" i="1"/>
  <c r="H877" i="1"/>
  <c r="I877" i="1"/>
  <c r="J877" i="1"/>
  <c r="B878" i="1"/>
  <c r="C878" i="1"/>
  <c r="D878" i="1"/>
  <c r="E878" i="1"/>
  <c r="F878" i="1"/>
  <c r="G878" i="1"/>
  <c r="H878" i="1"/>
  <c r="I878" i="1"/>
  <c r="J878" i="1"/>
  <c r="B879" i="1"/>
  <c r="C879" i="1"/>
  <c r="D879" i="1"/>
  <c r="E879" i="1"/>
  <c r="F879" i="1"/>
  <c r="G879" i="1"/>
  <c r="H879" i="1"/>
  <c r="I879" i="1"/>
  <c r="J879" i="1"/>
  <c r="B880" i="1"/>
  <c r="C880" i="1"/>
  <c r="D880" i="1"/>
  <c r="E880" i="1"/>
  <c r="F880" i="1"/>
  <c r="G880" i="1"/>
  <c r="H880" i="1"/>
  <c r="I880" i="1"/>
  <c r="J880" i="1"/>
  <c r="B881" i="1"/>
  <c r="C881" i="1"/>
  <c r="D881" i="1"/>
  <c r="E881" i="1"/>
  <c r="F881" i="1"/>
  <c r="G881" i="1"/>
  <c r="H881" i="1"/>
  <c r="I881" i="1"/>
  <c r="J881" i="1"/>
  <c r="B882" i="1"/>
  <c r="C882" i="1"/>
  <c r="D882" i="1"/>
  <c r="E882" i="1"/>
  <c r="F882" i="1"/>
  <c r="G882" i="1"/>
  <c r="H882" i="1"/>
  <c r="I882" i="1"/>
  <c r="J882" i="1"/>
  <c r="B883" i="1"/>
  <c r="C883" i="1"/>
  <c r="D883" i="1"/>
  <c r="E883" i="1"/>
  <c r="F883" i="1"/>
  <c r="G883" i="1"/>
  <c r="H883" i="1"/>
  <c r="I883" i="1"/>
  <c r="J883" i="1"/>
  <c r="B884" i="1"/>
  <c r="C884" i="1"/>
  <c r="D884" i="1"/>
  <c r="E884" i="1"/>
  <c r="F884" i="1"/>
  <c r="G884" i="1"/>
  <c r="H884" i="1"/>
  <c r="I884" i="1"/>
  <c r="J884" i="1"/>
  <c r="B885" i="1"/>
  <c r="C885" i="1"/>
  <c r="D885" i="1"/>
  <c r="E885" i="1"/>
  <c r="F885" i="1"/>
  <c r="G885" i="1"/>
  <c r="H885" i="1"/>
  <c r="I885" i="1"/>
  <c r="J885" i="1"/>
  <c r="B886" i="1"/>
  <c r="C886" i="1"/>
  <c r="D886" i="1"/>
  <c r="E886" i="1"/>
  <c r="F886" i="1"/>
  <c r="G886" i="1"/>
  <c r="H886" i="1"/>
  <c r="I886" i="1"/>
  <c r="J886" i="1"/>
  <c r="B887" i="1"/>
  <c r="C887" i="1"/>
  <c r="D887" i="1"/>
  <c r="E887" i="1"/>
  <c r="F887" i="1"/>
  <c r="G887" i="1"/>
  <c r="H887" i="1"/>
  <c r="I887" i="1"/>
  <c r="J887" i="1"/>
  <c r="B888" i="1"/>
  <c r="C888" i="1"/>
  <c r="D888" i="1"/>
  <c r="E888" i="1"/>
  <c r="F888" i="1"/>
  <c r="G888" i="1"/>
  <c r="H888" i="1"/>
  <c r="I888" i="1"/>
  <c r="J888" i="1"/>
  <c r="B889" i="1"/>
  <c r="C889" i="1"/>
  <c r="D889" i="1"/>
  <c r="E889" i="1"/>
  <c r="F889" i="1"/>
  <c r="G889" i="1"/>
  <c r="H889" i="1"/>
  <c r="I889" i="1"/>
  <c r="J889" i="1"/>
  <c r="B890" i="1"/>
  <c r="C890" i="1"/>
  <c r="D890" i="1"/>
  <c r="E890" i="1"/>
  <c r="F890" i="1"/>
  <c r="G890" i="1"/>
  <c r="H890" i="1"/>
  <c r="I890" i="1"/>
  <c r="J890" i="1"/>
  <c r="B891" i="1"/>
  <c r="C891" i="1"/>
  <c r="D891" i="1"/>
  <c r="E891" i="1"/>
  <c r="F891" i="1"/>
  <c r="G891" i="1"/>
  <c r="H891" i="1"/>
  <c r="I891" i="1"/>
  <c r="J891" i="1"/>
  <c r="B892" i="1"/>
  <c r="C892" i="1"/>
  <c r="D892" i="1"/>
  <c r="E892" i="1"/>
  <c r="F892" i="1"/>
  <c r="G892" i="1"/>
  <c r="H892" i="1"/>
  <c r="I892" i="1"/>
  <c r="J892" i="1"/>
  <c r="B893" i="1"/>
  <c r="C893" i="1"/>
  <c r="D893" i="1"/>
  <c r="E893" i="1"/>
  <c r="F893" i="1"/>
  <c r="G893" i="1"/>
  <c r="H893" i="1"/>
  <c r="I893" i="1"/>
  <c r="J893" i="1"/>
  <c r="B894" i="1"/>
  <c r="C894" i="1"/>
  <c r="D894" i="1"/>
  <c r="E894" i="1"/>
  <c r="F894" i="1"/>
  <c r="G894" i="1"/>
  <c r="H894" i="1"/>
  <c r="I894" i="1"/>
  <c r="J894" i="1"/>
  <c r="B895" i="1"/>
  <c r="C895" i="1"/>
  <c r="D895" i="1"/>
  <c r="E895" i="1"/>
  <c r="F895" i="1"/>
  <c r="G895" i="1"/>
  <c r="H895" i="1"/>
  <c r="I895" i="1"/>
  <c r="J895" i="1"/>
  <c r="B896" i="1"/>
  <c r="C896" i="1"/>
  <c r="D896" i="1"/>
  <c r="E896" i="1"/>
  <c r="F896" i="1"/>
  <c r="G896" i="1"/>
  <c r="H896" i="1"/>
  <c r="I896" i="1"/>
  <c r="J896" i="1"/>
  <c r="B897" i="1"/>
  <c r="C897" i="1"/>
  <c r="D897" i="1"/>
  <c r="E897" i="1"/>
  <c r="F897" i="1"/>
  <c r="G897" i="1"/>
  <c r="H897" i="1"/>
  <c r="I897" i="1"/>
  <c r="J897" i="1"/>
  <c r="B898" i="1"/>
  <c r="C898" i="1"/>
  <c r="D898" i="1"/>
  <c r="E898" i="1"/>
  <c r="F898" i="1"/>
  <c r="G898" i="1"/>
  <c r="H898" i="1"/>
  <c r="I898" i="1"/>
  <c r="J898" i="1"/>
  <c r="B899" i="1"/>
  <c r="C899" i="1"/>
  <c r="D899" i="1"/>
  <c r="E899" i="1"/>
  <c r="F899" i="1"/>
  <c r="G899" i="1"/>
  <c r="H899" i="1"/>
  <c r="I899" i="1"/>
  <c r="J899" i="1"/>
  <c r="B900" i="1"/>
  <c r="C900" i="1"/>
  <c r="D900" i="1"/>
  <c r="E900" i="1"/>
  <c r="F900" i="1"/>
  <c r="G900" i="1"/>
  <c r="H900" i="1"/>
  <c r="I900" i="1"/>
  <c r="J900" i="1"/>
  <c r="B901" i="1"/>
  <c r="C901" i="1"/>
  <c r="D901" i="1"/>
  <c r="E901" i="1"/>
  <c r="F901" i="1"/>
  <c r="G901" i="1"/>
  <c r="H901" i="1"/>
  <c r="I901" i="1"/>
  <c r="J901" i="1"/>
  <c r="B902" i="1"/>
  <c r="C902" i="1"/>
  <c r="D902" i="1"/>
  <c r="E902" i="1"/>
  <c r="F902" i="1"/>
  <c r="G902" i="1"/>
  <c r="H902" i="1"/>
  <c r="I902" i="1"/>
  <c r="J902" i="1"/>
  <c r="B903" i="1"/>
  <c r="C903" i="1"/>
  <c r="D903" i="1"/>
  <c r="E903" i="1"/>
  <c r="F903" i="1"/>
  <c r="G903" i="1"/>
  <c r="H903" i="1"/>
  <c r="I903" i="1"/>
  <c r="J903" i="1"/>
  <c r="B904" i="1"/>
  <c r="C904" i="1"/>
  <c r="D904" i="1"/>
  <c r="E904" i="1"/>
  <c r="F904" i="1"/>
  <c r="G904" i="1"/>
  <c r="H904" i="1"/>
  <c r="I904" i="1"/>
  <c r="J904" i="1"/>
  <c r="B905" i="1"/>
  <c r="C905" i="1"/>
  <c r="D905" i="1"/>
  <c r="E905" i="1"/>
  <c r="F905" i="1"/>
  <c r="G905" i="1"/>
  <c r="H905" i="1"/>
  <c r="I905" i="1"/>
  <c r="J905" i="1"/>
  <c r="B906" i="1"/>
  <c r="C906" i="1"/>
  <c r="D906" i="1"/>
  <c r="E906" i="1"/>
  <c r="F906" i="1"/>
  <c r="G906" i="1"/>
  <c r="H906" i="1"/>
  <c r="I906" i="1"/>
  <c r="J906" i="1"/>
  <c r="B907" i="1"/>
  <c r="C907" i="1"/>
  <c r="D907" i="1"/>
  <c r="E907" i="1"/>
  <c r="F907" i="1"/>
  <c r="G907" i="1"/>
  <c r="H907" i="1"/>
  <c r="I907" i="1"/>
  <c r="J907" i="1"/>
  <c r="B908" i="1"/>
  <c r="C908" i="1"/>
  <c r="D908" i="1"/>
  <c r="E908" i="1"/>
  <c r="F908" i="1"/>
  <c r="G908" i="1"/>
  <c r="H908" i="1"/>
  <c r="I908" i="1"/>
  <c r="J908" i="1"/>
  <c r="B909" i="1"/>
  <c r="C909" i="1"/>
  <c r="D909" i="1"/>
  <c r="E909" i="1"/>
  <c r="F909" i="1"/>
  <c r="G909" i="1"/>
  <c r="H909" i="1"/>
  <c r="I909" i="1"/>
  <c r="J909" i="1"/>
  <c r="B910" i="1"/>
  <c r="C910" i="1"/>
  <c r="D910" i="1"/>
  <c r="E910" i="1"/>
  <c r="F910" i="1"/>
  <c r="G910" i="1"/>
  <c r="H910" i="1"/>
  <c r="I910" i="1"/>
  <c r="J910" i="1"/>
  <c r="B911" i="1"/>
  <c r="C911" i="1"/>
  <c r="D911" i="1"/>
  <c r="E911" i="1"/>
  <c r="F911" i="1"/>
  <c r="G911" i="1"/>
  <c r="H911" i="1"/>
  <c r="I911" i="1"/>
  <c r="J911" i="1"/>
  <c r="B912" i="1"/>
  <c r="C912" i="1"/>
  <c r="D912" i="1"/>
  <c r="E912" i="1"/>
  <c r="F912" i="1"/>
  <c r="G912" i="1"/>
  <c r="H912" i="1"/>
  <c r="I912" i="1"/>
  <c r="J912" i="1"/>
  <c r="B913" i="1"/>
  <c r="C913" i="1"/>
  <c r="D913" i="1"/>
  <c r="E913" i="1"/>
  <c r="F913" i="1"/>
  <c r="G913" i="1"/>
  <c r="H913" i="1"/>
  <c r="I913" i="1"/>
  <c r="J913" i="1"/>
  <c r="B914" i="1"/>
  <c r="C914" i="1"/>
  <c r="D914" i="1"/>
  <c r="E914" i="1"/>
  <c r="F914" i="1"/>
  <c r="G914" i="1"/>
  <c r="H914" i="1"/>
  <c r="I914" i="1"/>
  <c r="J914" i="1"/>
  <c r="B915" i="1"/>
  <c r="C915" i="1"/>
  <c r="D915" i="1"/>
  <c r="E915" i="1"/>
  <c r="F915" i="1"/>
  <c r="G915" i="1"/>
  <c r="H915" i="1"/>
  <c r="I915" i="1"/>
  <c r="J915" i="1"/>
  <c r="B916" i="1"/>
  <c r="C916" i="1"/>
  <c r="D916" i="1"/>
  <c r="E916" i="1"/>
  <c r="F916" i="1"/>
  <c r="G916" i="1"/>
  <c r="H916" i="1"/>
  <c r="I916" i="1"/>
  <c r="J916" i="1"/>
  <c r="B917" i="1"/>
  <c r="C917" i="1"/>
  <c r="D917" i="1"/>
  <c r="E917" i="1"/>
  <c r="F917" i="1"/>
  <c r="G917" i="1"/>
  <c r="H917" i="1"/>
  <c r="I917" i="1"/>
  <c r="J917" i="1"/>
  <c r="B918" i="1"/>
  <c r="C918" i="1"/>
  <c r="D918" i="1"/>
  <c r="E918" i="1"/>
  <c r="F918" i="1"/>
  <c r="G918" i="1"/>
  <c r="H918" i="1"/>
  <c r="I918" i="1"/>
  <c r="J918" i="1"/>
  <c r="B919" i="1"/>
  <c r="C919" i="1"/>
  <c r="D919" i="1"/>
  <c r="E919" i="1"/>
  <c r="F919" i="1"/>
  <c r="G919" i="1"/>
  <c r="H919" i="1"/>
  <c r="I919" i="1"/>
  <c r="J919" i="1"/>
  <c r="B920" i="1"/>
  <c r="C920" i="1"/>
  <c r="D920" i="1"/>
  <c r="E920" i="1"/>
  <c r="F920" i="1"/>
  <c r="G920" i="1"/>
  <c r="H920" i="1"/>
  <c r="I920" i="1"/>
  <c r="J920" i="1"/>
  <c r="B921" i="1"/>
  <c r="C921" i="1"/>
  <c r="D921" i="1"/>
  <c r="E921" i="1"/>
  <c r="F921" i="1"/>
  <c r="G921" i="1"/>
  <c r="H921" i="1"/>
  <c r="I921" i="1"/>
  <c r="J921" i="1"/>
  <c r="B922" i="1"/>
  <c r="C922" i="1"/>
  <c r="D922" i="1"/>
  <c r="E922" i="1"/>
  <c r="F922" i="1"/>
  <c r="G922" i="1"/>
  <c r="H922" i="1"/>
  <c r="I922" i="1"/>
  <c r="J922" i="1"/>
  <c r="B923" i="1"/>
  <c r="C923" i="1"/>
  <c r="D923" i="1"/>
  <c r="E923" i="1"/>
  <c r="F923" i="1"/>
  <c r="G923" i="1"/>
  <c r="H923" i="1"/>
  <c r="I923" i="1"/>
  <c r="J923" i="1"/>
  <c r="B924" i="1"/>
  <c r="C924" i="1"/>
  <c r="D924" i="1"/>
  <c r="E924" i="1"/>
  <c r="F924" i="1"/>
  <c r="G924" i="1"/>
  <c r="H924" i="1"/>
  <c r="I924" i="1"/>
  <c r="J924" i="1"/>
  <c r="B925" i="1"/>
  <c r="C925" i="1"/>
  <c r="D925" i="1"/>
  <c r="E925" i="1"/>
  <c r="F925" i="1"/>
  <c r="G925" i="1"/>
  <c r="H925" i="1"/>
  <c r="I925" i="1"/>
  <c r="J925" i="1"/>
  <c r="B926" i="1"/>
  <c r="C926" i="1"/>
  <c r="D926" i="1"/>
  <c r="E926" i="1"/>
  <c r="F926" i="1"/>
  <c r="G926" i="1"/>
  <c r="H926" i="1"/>
  <c r="I926" i="1"/>
  <c r="J926" i="1"/>
  <c r="B927" i="1"/>
  <c r="C927" i="1"/>
  <c r="D927" i="1"/>
  <c r="E927" i="1"/>
  <c r="F927" i="1"/>
  <c r="G927" i="1"/>
  <c r="H927" i="1"/>
  <c r="I927" i="1"/>
  <c r="J927" i="1"/>
  <c r="B928" i="1"/>
  <c r="C928" i="1"/>
  <c r="D928" i="1"/>
  <c r="E928" i="1"/>
  <c r="F928" i="1"/>
  <c r="G928" i="1"/>
  <c r="H928" i="1"/>
  <c r="I928" i="1"/>
  <c r="J928" i="1"/>
  <c r="B929" i="1"/>
  <c r="C929" i="1"/>
  <c r="D929" i="1"/>
  <c r="E929" i="1"/>
  <c r="F929" i="1"/>
  <c r="G929" i="1"/>
  <c r="H929" i="1"/>
  <c r="I929" i="1"/>
  <c r="J929" i="1"/>
  <c r="B930" i="1"/>
  <c r="C930" i="1"/>
  <c r="D930" i="1"/>
  <c r="E930" i="1"/>
  <c r="F930" i="1"/>
  <c r="G930" i="1"/>
  <c r="H930" i="1"/>
  <c r="I930" i="1"/>
  <c r="J930" i="1"/>
  <c r="B931" i="1"/>
  <c r="C931" i="1"/>
  <c r="D931" i="1"/>
  <c r="E931" i="1"/>
  <c r="F931" i="1"/>
  <c r="G931" i="1"/>
  <c r="H931" i="1"/>
  <c r="I931" i="1"/>
  <c r="J931" i="1"/>
  <c r="B932" i="1"/>
  <c r="C932" i="1"/>
  <c r="D932" i="1"/>
  <c r="E932" i="1"/>
  <c r="F932" i="1"/>
  <c r="G932" i="1"/>
  <c r="H932" i="1"/>
  <c r="I932" i="1"/>
  <c r="J932" i="1"/>
  <c r="B933" i="1"/>
  <c r="C933" i="1"/>
  <c r="D933" i="1"/>
  <c r="E933" i="1"/>
  <c r="F933" i="1"/>
  <c r="G933" i="1"/>
  <c r="H933" i="1"/>
  <c r="I933" i="1"/>
  <c r="J933" i="1"/>
  <c r="B934" i="1"/>
  <c r="C934" i="1"/>
  <c r="D934" i="1"/>
  <c r="E934" i="1"/>
  <c r="F934" i="1"/>
  <c r="G934" i="1"/>
  <c r="H934" i="1"/>
  <c r="I934" i="1"/>
  <c r="J934" i="1"/>
  <c r="B935" i="1"/>
  <c r="C935" i="1"/>
  <c r="D935" i="1"/>
  <c r="E935" i="1"/>
  <c r="F935" i="1"/>
  <c r="G935" i="1"/>
  <c r="H935" i="1"/>
  <c r="I935" i="1"/>
  <c r="J935" i="1"/>
  <c r="B936" i="1"/>
  <c r="C936" i="1"/>
  <c r="D936" i="1"/>
  <c r="E936" i="1"/>
  <c r="F936" i="1"/>
  <c r="G936" i="1"/>
  <c r="H936" i="1"/>
  <c r="I936" i="1"/>
  <c r="J936" i="1"/>
  <c r="B937" i="1"/>
  <c r="C937" i="1"/>
  <c r="D937" i="1"/>
  <c r="E937" i="1"/>
  <c r="F937" i="1"/>
  <c r="G937" i="1"/>
  <c r="H937" i="1"/>
  <c r="I937" i="1"/>
  <c r="J937" i="1"/>
  <c r="B938" i="1"/>
  <c r="C938" i="1"/>
  <c r="D938" i="1"/>
  <c r="E938" i="1"/>
  <c r="F938" i="1"/>
  <c r="G938" i="1"/>
  <c r="H938" i="1"/>
  <c r="I938" i="1"/>
  <c r="J938" i="1"/>
  <c r="B939" i="1"/>
  <c r="C939" i="1"/>
  <c r="D939" i="1"/>
  <c r="E939" i="1"/>
  <c r="F939" i="1"/>
  <c r="G939" i="1"/>
  <c r="H939" i="1"/>
  <c r="I939" i="1"/>
  <c r="J939" i="1"/>
  <c r="B940" i="1"/>
  <c r="C940" i="1"/>
  <c r="D940" i="1"/>
  <c r="E940" i="1"/>
  <c r="F940" i="1"/>
  <c r="G940" i="1"/>
  <c r="H940" i="1"/>
  <c r="I940" i="1"/>
  <c r="J940" i="1"/>
  <c r="B941" i="1"/>
  <c r="C941" i="1"/>
  <c r="D941" i="1"/>
  <c r="E941" i="1"/>
  <c r="F941" i="1"/>
  <c r="G941" i="1"/>
  <c r="H941" i="1"/>
  <c r="I941" i="1"/>
  <c r="J941" i="1"/>
  <c r="B942" i="1"/>
  <c r="C942" i="1"/>
  <c r="D942" i="1"/>
  <c r="E942" i="1"/>
  <c r="F942" i="1"/>
  <c r="G942" i="1"/>
  <c r="H942" i="1"/>
  <c r="I942" i="1"/>
  <c r="J942" i="1"/>
  <c r="B943" i="1"/>
  <c r="C943" i="1"/>
  <c r="D943" i="1"/>
  <c r="E943" i="1"/>
  <c r="F943" i="1"/>
  <c r="G943" i="1"/>
  <c r="H943" i="1"/>
  <c r="I943" i="1"/>
  <c r="J943" i="1"/>
  <c r="B944" i="1"/>
  <c r="C944" i="1"/>
  <c r="D944" i="1"/>
  <c r="E944" i="1"/>
  <c r="F944" i="1"/>
  <c r="G944" i="1"/>
  <c r="H944" i="1"/>
  <c r="I944" i="1"/>
  <c r="J944" i="1"/>
  <c r="B945" i="1"/>
  <c r="C945" i="1"/>
  <c r="D945" i="1"/>
  <c r="E945" i="1"/>
  <c r="F945" i="1"/>
  <c r="G945" i="1"/>
  <c r="H945" i="1"/>
  <c r="I945" i="1"/>
  <c r="J945" i="1"/>
  <c r="B946" i="1"/>
  <c r="C946" i="1"/>
  <c r="D946" i="1"/>
  <c r="E946" i="1"/>
  <c r="F946" i="1"/>
  <c r="G946" i="1"/>
  <c r="H946" i="1"/>
  <c r="I946" i="1"/>
  <c r="J946" i="1"/>
  <c r="B947" i="1"/>
  <c r="C947" i="1"/>
  <c r="D947" i="1"/>
  <c r="E947" i="1"/>
  <c r="F947" i="1"/>
  <c r="G947" i="1"/>
  <c r="H947" i="1"/>
  <c r="I947" i="1"/>
  <c r="J947" i="1"/>
  <c r="B948" i="1"/>
  <c r="C948" i="1"/>
  <c r="D948" i="1"/>
  <c r="E948" i="1"/>
  <c r="F948" i="1"/>
  <c r="G948" i="1"/>
  <c r="H948" i="1"/>
  <c r="I948" i="1"/>
  <c r="J948" i="1"/>
  <c r="B949" i="1"/>
  <c r="C949" i="1"/>
  <c r="D949" i="1"/>
  <c r="E949" i="1"/>
  <c r="F949" i="1"/>
  <c r="G949" i="1"/>
  <c r="H949" i="1"/>
  <c r="I949" i="1"/>
  <c r="J949" i="1"/>
  <c r="B950" i="1"/>
  <c r="C950" i="1"/>
  <c r="D950" i="1"/>
  <c r="E950" i="1"/>
  <c r="F950" i="1"/>
  <c r="G950" i="1"/>
  <c r="H950" i="1"/>
  <c r="I950" i="1"/>
  <c r="J950" i="1"/>
  <c r="B951" i="1"/>
  <c r="C951" i="1"/>
  <c r="D951" i="1"/>
  <c r="E951" i="1"/>
  <c r="F951" i="1"/>
  <c r="G951" i="1"/>
  <c r="H951" i="1"/>
  <c r="I951" i="1"/>
  <c r="J951" i="1"/>
  <c r="B952" i="1"/>
  <c r="C952" i="1"/>
  <c r="D952" i="1"/>
  <c r="E952" i="1"/>
  <c r="F952" i="1"/>
  <c r="G952" i="1"/>
  <c r="H952" i="1"/>
  <c r="I952" i="1"/>
  <c r="J952" i="1"/>
  <c r="B953" i="1"/>
  <c r="C953" i="1"/>
  <c r="D953" i="1"/>
  <c r="E953" i="1"/>
  <c r="F953" i="1"/>
  <c r="G953" i="1"/>
  <c r="H953" i="1"/>
  <c r="I953" i="1"/>
  <c r="J953" i="1"/>
  <c r="B954" i="1"/>
  <c r="C954" i="1"/>
  <c r="D954" i="1"/>
  <c r="E954" i="1"/>
  <c r="F954" i="1"/>
  <c r="G954" i="1"/>
  <c r="H954" i="1"/>
  <c r="I954" i="1"/>
  <c r="J954" i="1"/>
  <c r="B955" i="1"/>
  <c r="C955" i="1"/>
  <c r="D955" i="1"/>
  <c r="E955" i="1"/>
  <c r="F955" i="1"/>
  <c r="G955" i="1"/>
  <c r="H955" i="1"/>
  <c r="I955" i="1"/>
  <c r="J955" i="1"/>
  <c r="B956" i="1"/>
  <c r="C956" i="1"/>
  <c r="D956" i="1"/>
  <c r="E956" i="1"/>
  <c r="F956" i="1"/>
  <c r="G956" i="1"/>
  <c r="H956" i="1"/>
  <c r="I956" i="1"/>
  <c r="J956" i="1"/>
  <c r="B957" i="1"/>
  <c r="C957" i="1"/>
  <c r="D957" i="1"/>
  <c r="E957" i="1"/>
  <c r="F957" i="1"/>
  <c r="G957" i="1"/>
  <c r="H957" i="1"/>
  <c r="I957" i="1"/>
  <c r="J957" i="1"/>
  <c r="B958" i="1"/>
  <c r="C958" i="1"/>
  <c r="D958" i="1"/>
  <c r="E958" i="1"/>
  <c r="F958" i="1"/>
  <c r="G958" i="1"/>
  <c r="H958" i="1"/>
  <c r="I958" i="1"/>
  <c r="J958" i="1"/>
  <c r="B959" i="1"/>
  <c r="C959" i="1"/>
  <c r="D959" i="1"/>
  <c r="E959" i="1"/>
  <c r="F959" i="1"/>
  <c r="G959" i="1"/>
  <c r="H959" i="1"/>
  <c r="I959" i="1"/>
  <c r="J959" i="1"/>
  <c r="B960" i="1"/>
  <c r="C960" i="1"/>
  <c r="D960" i="1"/>
  <c r="E960" i="1"/>
  <c r="F960" i="1"/>
  <c r="G960" i="1"/>
  <c r="H960" i="1"/>
  <c r="I960" i="1"/>
  <c r="J960" i="1"/>
  <c r="B961" i="1"/>
  <c r="C961" i="1"/>
  <c r="D961" i="1"/>
  <c r="E961" i="1"/>
  <c r="F961" i="1"/>
  <c r="G961" i="1"/>
  <c r="H961" i="1"/>
  <c r="I961" i="1"/>
  <c r="J961" i="1"/>
  <c r="B962" i="1"/>
  <c r="C962" i="1"/>
  <c r="D962" i="1"/>
  <c r="E962" i="1"/>
  <c r="F962" i="1"/>
  <c r="G962" i="1"/>
  <c r="H962" i="1"/>
  <c r="I962" i="1"/>
  <c r="J962" i="1"/>
  <c r="B963" i="1"/>
  <c r="C963" i="1"/>
  <c r="D963" i="1"/>
  <c r="E963" i="1"/>
  <c r="F963" i="1"/>
  <c r="G963" i="1"/>
  <c r="H963" i="1"/>
  <c r="I963" i="1"/>
  <c r="J963" i="1"/>
  <c r="B964" i="1"/>
  <c r="C964" i="1"/>
  <c r="D964" i="1"/>
  <c r="E964" i="1"/>
  <c r="F964" i="1"/>
  <c r="G964" i="1"/>
  <c r="H964" i="1"/>
  <c r="I964" i="1"/>
  <c r="J964" i="1"/>
  <c r="B965" i="1"/>
  <c r="C965" i="1"/>
  <c r="D965" i="1"/>
  <c r="E965" i="1"/>
  <c r="F965" i="1"/>
  <c r="G965" i="1"/>
  <c r="H965" i="1"/>
  <c r="I965" i="1"/>
  <c r="J965" i="1"/>
  <c r="B966" i="1"/>
  <c r="C966" i="1"/>
  <c r="D966" i="1"/>
  <c r="E966" i="1"/>
  <c r="F966" i="1"/>
  <c r="G966" i="1"/>
  <c r="H966" i="1"/>
  <c r="I966" i="1"/>
  <c r="J966" i="1"/>
  <c r="B967" i="1"/>
  <c r="C967" i="1"/>
  <c r="D967" i="1"/>
  <c r="E967" i="1"/>
  <c r="F967" i="1"/>
  <c r="G967" i="1"/>
  <c r="H967" i="1"/>
  <c r="I967" i="1"/>
  <c r="J967" i="1"/>
  <c r="B968" i="1"/>
  <c r="C968" i="1"/>
  <c r="D968" i="1"/>
  <c r="E968" i="1"/>
  <c r="F968" i="1"/>
  <c r="G968" i="1"/>
  <c r="H968" i="1"/>
  <c r="I968" i="1"/>
  <c r="J968" i="1"/>
  <c r="B969" i="1"/>
  <c r="C969" i="1"/>
  <c r="D969" i="1"/>
  <c r="E969" i="1"/>
  <c r="F969" i="1"/>
  <c r="G969" i="1"/>
  <c r="H969" i="1"/>
  <c r="I969" i="1"/>
  <c r="J969" i="1"/>
  <c r="B970" i="1"/>
  <c r="C970" i="1"/>
  <c r="D970" i="1"/>
  <c r="E970" i="1"/>
  <c r="F970" i="1"/>
  <c r="G970" i="1"/>
  <c r="H970" i="1"/>
  <c r="I970" i="1"/>
  <c r="J970" i="1"/>
  <c r="B971" i="1"/>
  <c r="C971" i="1"/>
  <c r="D971" i="1"/>
  <c r="E971" i="1"/>
  <c r="F971" i="1"/>
  <c r="G971" i="1"/>
  <c r="H971" i="1"/>
  <c r="I971" i="1"/>
  <c r="J971" i="1"/>
  <c r="B972" i="1"/>
  <c r="C972" i="1"/>
  <c r="D972" i="1"/>
  <c r="E972" i="1"/>
  <c r="F972" i="1"/>
  <c r="G972" i="1"/>
  <c r="H972" i="1"/>
  <c r="I972" i="1"/>
  <c r="J972" i="1"/>
  <c r="B973" i="1"/>
  <c r="C973" i="1"/>
  <c r="D973" i="1"/>
  <c r="E973" i="1"/>
  <c r="F973" i="1"/>
  <c r="G973" i="1"/>
  <c r="H973" i="1"/>
  <c r="I973" i="1"/>
  <c r="J973" i="1"/>
  <c r="B974" i="1"/>
  <c r="C974" i="1"/>
  <c r="D974" i="1"/>
  <c r="E974" i="1"/>
  <c r="F974" i="1"/>
  <c r="G974" i="1"/>
  <c r="H974" i="1"/>
  <c r="I974" i="1"/>
  <c r="J974" i="1"/>
  <c r="B975" i="1"/>
  <c r="C975" i="1"/>
  <c r="D975" i="1"/>
  <c r="E975" i="1"/>
  <c r="F975" i="1"/>
  <c r="G975" i="1"/>
  <c r="H975" i="1"/>
  <c r="I975" i="1"/>
  <c r="J975" i="1"/>
  <c r="B976" i="1"/>
  <c r="C976" i="1"/>
  <c r="D976" i="1"/>
  <c r="E976" i="1"/>
  <c r="F976" i="1"/>
  <c r="G976" i="1"/>
  <c r="H976" i="1"/>
  <c r="I976" i="1"/>
  <c r="J976" i="1"/>
  <c r="B977" i="1"/>
  <c r="C977" i="1"/>
  <c r="D977" i="1"/>
  <c r="E977" i="1"/>
  <c r="F977" i="1"/>
  <c r="G977" i="1"/>
  <c r="H977" i="1"/>
  <c r="I977" i="1"/>
  <c r="J977" i="1"/>
  <c r="B978" i="1"/>
  <c r="C978" i="1"/>
  <c r="D978" i="1"/>
  <c r="E978" i="1"/>
  <c r="F978" i="1"/>
  <c r="G978" i="1"/>
  <c r="H978" i="1"/>
  <c r="I978" i="1"/>
  <c r="J978" i="1"/>
  <c r="B979" i="1"/>
  <c r="C979" i="1"/>
  <c r="D979" i="1"/>
  <c r="E979" i="1"/>
  <c r="F979" i="1"/>
  <c r="G979" i="1"/>
  <c r="H979" i="1"/>
  <c r="I979" i="1"/>
  <c r="J979" i="1"/>
  <c r="B980" i="1"/>
  <c r="C980" i="1"/>
  <c r="D980" i="1"/>
  <c r="E980" i="1"/>
  <c r="F980" i="1"/>
  <c r="G980" i="1"/>
  <c r="H980" i="1"/>
  <c r="I980" i="1"/>
  <c r="J980" i="1"/>
  <c r="B981" i="1"/>
  <c r="C981" i="1"/>
  <c r="D981" i="1"/>
  <c r="E981" i="1"/>
  <c r="F981" i="1"/>
  <c r="G981" i="1"/>
  <c r="H981" i="1"/>
  <c r="I981" i="1"/>
  <c r="J981" i="1"/>
  <c r="B982" i="1"/>
  <c r="C982" i="1"/>
  <c r="D982" i="1"/>
  <c r="E982" i="1"/>
  <c r="F982" i="1"/>
  <c r="G982" i="1"/>
  <c r="H982" i="1"/>
  <c r="I982" i="1"/>
  <c r="J982" i="1"/>
  <c r="B983" i="1"/>
  <c r="C983" i="1"/>
  <c r="D983" i="1"/>
  <c r="E983" i="1"/>
  <c r="F983" i="1"/>
  <c r="G983" i="1"/>
  <c r="H983" i="1"/>
  <c r="I983" i="1"/>
  <c r="J983" i="1"/>
  <c r="B984" i="1"/>
  <c r="C984" i="1"/>
  <c r="D984" i="1"/>
  <c r="E984" i="1"/>
  <c r="F984" i="1"/>
  <c r="G984" i="1"/>
  <c r="H984" i="1"/>
  <c r="I984" i="1"/>
  <c r="J984" i="1"/>
  <c r="B985" i="1"/>
  <c r="C985" i="1"/>
  <c r="D985" i="1"/>
  <c r="E985" i="1"/>
  <c r="F985" i="1"/>
  <c r="G985" i="1"/>
  <c r="H985" i="1"/>
  <c r="I985" i="1"/>
  <c r="J985" i="1"/>
  <c r="B986" i="1"/>
  <c r="C986" i="1"/>
  <c r="D986" i="1"/>
  <c r="E986" i="1"/>
  <c r="F986" i="1"/>
  <c r="G986" i="1"/>
  <c r="H986" i="1"/>
  <c r="I986" i="1"/>
  <c r="J986" i="1"/>
  <c r="B987" i="1"/>
  <c r="C987" i="1"/>
  <c r="D987" i="1"/>
  <c r="E987" i="1"/>
  <c r="F987" i="1"/>
  <c r="G987" i="1"/>
  <c r="H987" i="1"/>
  <c r="I987" i="1"/>
  <c r="J987" i="1"/>
  <c r="B988" i="1"/>
  <c r="C988" i="1"/>
  <c r="D988" i="1"/>
  <c r="E988" i="1"/>
  <c r="F988" i="1"/>
  <c r="G988" i="1"/>
  <c r="H988" i="1"/>
  <c r="I988" i="1"/>
  <c r="J988" i="1"/>
  <c r="B989" i="1"/>
  <c r="C989" i="1"/>
  <c r="D989" i="1"/>
  <c r="E989" i="1"/>
  <c r="F989" i="1"/>
  <c r="G989" i="1"/>
  <c r="H989" i="1"/>
  <c r="I989" i="1"/>
  <c r="J989" i="1"/>
  <c r="B990" i="1"/>
  <c r="C990" i="1"/>
  <c r="D990" i="1"/>
  <c r="E990" i="1"/>
  <c r="F990" i="1"/>
  <c r="G990" i="1"/>
  <c r="H990" i="1"/>
  <c r="I990" i="1"/>
  <c r="J990" i="1"/>
  <c r="B991" i="1"/>
  <c r="C991" i="1"/>
  <c r="D991" i="1"/>
  <c r="E991" i="1"/>
  <c r="F991" i="1"/>
  <c r="G991" i="1"/>
  <c r="H991" i="1"/>
  <c r="I991" i="1"/>
  <c r="J991" i="1"/>
  <c r="B992" i="1"/>
  <c r="C992" i="1"/>
  <c r="D992" i="1"/>
  <c r="E992" i="1"/>
  <c r="F992" i="1"/>
  <c r="G992" i="1"/>
  <c r="H992" i="1"/>
  <c r="I992" i="1"/>
  <c r="J992" i="1"/>
  <c r="B993" i="1"/>
  <c r="C993" i="1"/>
  <c r="D993" i="1"/>
  <c r="E993" i="1"/>
  <c r="F993" i="1"/>
  <c r="G993" i="1"/>
  <c r="H993" i="1"/>
  <c r="I993" i="1"/>
  <c r="J993" i="1"/>
  <c r="B994" i="1"/>
  <c r="C994" i="1"/>
  <c r="D994" i="1"/>
  <c r="E994" i="1"/>
  <c r="F994" i="1"/>
  <c r="G994" i="1"/>
  <c r="H994" i="1"/>
  <c r="I994" i="1"/>
  <c r="J994" i="1"/>
  <c r="B995" i="1"/>
  <c r="C995" i="1"/>
  <c r="D995" i="1"/>
  <c r="E995" i="1"/>
  <c r="F995" i="1"/>
  <c r="G995" i="1"/>
  <c r="H995" i="1"/>
  <c r="I995" i="1"/>
  <c r="J995" i="1"/>
  <c r="B996" i="1"/>
  <c r="C996" i="1"/>
  <c r="D996" i="1"/>
  <c r="E996" i="1"/>
  <c r="F996" i="1"/>
  <c r="G996" i="1"/>
  <c r="H996" i="1"/>
  <c r="I996" i="1"/>
  <c r="J996" i="1"/>
  <c r="B997" i="1"/>
  <c r="C997" i="1"/>
  <c r="D997" i="1"/>
  <c r="E997" i="1"/>
  <c r="F997" i="1"/>
  <c r="G997" i="1"/>
  <c r="H997" i="1"/>
  <c r="I997" i="1"/>
  <c r="J997" i="1"/>
  <c r="B998" i="1"/>
  <c r="C998" i="1"/>
  <c r="D998" i="1"/>
  <c r="E998" i="1"/>
  <c r="F998" i="1"/>
  <c r="G998" i="1"/>
  <c r="H998" i="1"/>
  <c r="I998" i="1"/>
  <c r="J998" i="1"/>
  <c r="B999" i="1"/>
  <c r="C999" i="1"/>
  <c r="D999" i="1"/>
  <c r="E999" i="1"/>
  <c r="F999" i="1"/>
  <c r="G999" i="1"/>
  <c r="H999" i="1"/>
  <c r="I999" i="1"/>
  <c r="J999" i="1"/>
  <c r="B1000" i="1"/>
  <c r="C1000" i="1"/>
  <c r="D1000" i="1"/>
  <c r="E1000" i="1"/>
  <c r="F1000" i="1"/>
  <c r="G1000" i="1"/>
  <c r="H1000" i="1"/>
  <c r="I1000" i="1"/>
  <c r="J1000" i="1"/>
  <c r="B1001" i="1"/>
  <c r="C1001" i="1"/>
  <c r="D1001" i="1"/>
  <c r="E1001" i="1"/>
  <c r="F1001" i="1"/>
  <c r="G1001" i="1"/>
  <c r="H1001" i="1"/>
  <c r="I1001" i="1"/>
  <c r="J1001" i="1"/>
  <c r="B1002" i="1"/>
  <c r="C1002" i="1"/>
  <c r="D1002" i="1"/>
  <c r="E1002" i="1"/>
  <c r="F1002" i="1"/>
  <c r="G1002" i="1"/>
  <c r="H1002" i="1"/>
  <c r="I1002" i="1"/>
  <c r="J1002" i="1"/>
  <c r="B1003" i="1"/>
  <c r="C1003" i="1"/>
  <c r="D1003" i="1"/>
  <c r="E1003" i="1"/>
  <c r="F1003" i="1"/>
  <c r="G1003" i="1"/>
  <c r="H1003" i="1"/>
  <c r="I1003" i="1"/>
  <c r="J1003" i="1"/>
  <c r="B1004" i="1"/>
  <c r="C1004" i="1"/>
  <c r="D1004" i="1"/>
  <c r="E1004" i="1"/>
  <c r="F1004" i="1"/>
  <c r="G1004" i="1"/>
  <c r="H1004" i="1"/>
  <c r="I1004" i="1"/>
  <c r="J1004" i="1"/>
  <c r="B1005" i="1"/>
  <c r="C1005" i="1"/>
  <c r="D1005" i="1"/>
  <c r="E1005" i="1"/>
  <c r="F1005" i="1"/>
  <c r="G1005" i="1"/>
  <c r="H1005" i="1"/>
  <c r="I1005" i="1"/>
  <c r="J1005" i="1"/>
  <c r="B1006" i="1"/>
  <c r="C1006" i="1"/>
  <c r="D1006" i="1"/>
  <c r="E1006" i="1"/>
  <c r="F1006" i="1"/>
  <c r="G1006" i="1"/>
  <c r="H1006" i="1"/>
  <c r="I1006" i="1"/>
  <c r="J1006" i="1"/>
  <c r="B1007" i="1"/>
  <c r="C1007" i="1"/>
  <c r="D1007" i="1"/>
  <c r="E1007" i="1"/>
  <c r="F1007" i="1"/>
  <c r="G1007" i="1"/>
  <c r="H1007" i="1"/>
  <c r="I1007" i="1"/>
  <c r="J1007" i="1"/>
  <c r="B1008" i="1"/>
  <c r="C1008" i="1"/>
  <c r="D1008" i="1"/>
  <c r="E1008" i="1"/>
  <c r="F1008" i="1"/>
  <c r="G1008" i="1"/>
  <c r="H1008" i="1"/>
  <c r="I1008" i="1"/>
  <c r="J1008" i="1"/>
  <c r="B1009" i="1"/>
  <c r="C1009" i="1"/>
  <c r="D1009" i="1"/>
  <c r="E1009" i="1"/>
  <c r="F1009" i="1"/>
  <c r="G1009" i="1"/>
  <c r="H1009" i="1"/>
  <c r="I1009" i="1"/>
  <c r="J1009" i="1"/>
  <c r="B1010" i="1"/>
  <c r="C1010" i="1"/>
  <c r="D1010" i="1"/>
  <c r="E1010" i="1"/>
  <c r="F1010" i="1"/>
  <c r="G1010" i="1"/>
  <c r="H1010" i="1"/>
  <c r="I1010" i="1"/>
  <c r="J1010" i="1"/>
  <c r="B1011" i="1"/>
  <c r="C1011" i="1"/>
  <c r="D1011" i="1"/>
  <c r="E1011" i="1"/>
  <c r="F1011" i="1"/>
  <c r="G1011" i="1"/>
  <c r="H1011" i="1"/>
  <c r="I1011" i="1"/>
  <c r="J1011" i="1"/>
  <c r="B1012" i="1"/>
  <c r="C1012" i="1"/>
  <c r="D1012" i="1"/>
  <c r="E1012" i="1"/>
  <c r="F1012" i="1"/>
  <c r="G1012" i="1"/>
  <c r="H1012" i="1"/>
  <c r="I1012" i="1"/>
  <c r="J1012" i="1"/>
  <c r="B1013" i="1"/>
  <c r="C1013" i="1"/>
  <c r="D1013" i="1"/>
  <c r="E1013" i="1"/>
  <c r="F1013" i="1"/>
  <c r="G1013" i="1"/>
  <c r="H1013" i="1"/>
  <c r="I1013" i="1"/>
  <c r="J1013" i="1"/>
  <c r="B1014" i="1"/>
  <c r="C1014" i="1"/>
  <c r="D1014" i="1"/>
  <c r="E1014" i="1"/>
  <c r="F1014" i="1"/>
  <c r="G1014" i="1"/>
  <c r="H1014" i="1"/>
  <c r="I1014" i="1"/>
  <c r="J1014" i="1"/>
  <c r="B1015" i="1"/>
  <c r="C1015" i="1"/>
  <c r="D1015" i="1"/>
  <c r="E1015" i="1"/>
  <c r="F1015" i="1"/>
  <c r="G1015" i="1"/>
  <c r="H1015" i="1"/>
  <c r="I1015" i="1"/>
  <c r="J1015" i="1"/>
  <c r="B1016" i="1"/>
  <c r="C1016" i="1"/>
  <c r="D1016" i="1"/>
  <c r="E1016" i="1"/>
  <c r="F1016" i="1"/>
  <c r="G1016" i="1"/>
  <c r="H1016" i="1"/>
  <c r="I1016" i="1"/>
  <c r="J1016" i="1"/>
  <c r="B1017" i="1"/>
  <c r="C1017" i="1"/>
  <c r="D1017" i="1"/>
  <c r="E1017" i="1"/>
  <c r="F1017" i="1"/>
  <c r="G1017" i="1"/>
  <c r="H1017" i="1"/>
  <c r="I1017" i="1"/>
  <c r="J1017" i="1"/>
  <c r="B1018" i="1"/>
  <c r="C1018" i="1"/>
  <c r="D1018" i="1"/>
  <c r="E1018" i="1"/>
  <c r="F1018" i="1"/>
  <c r="G1018" i="1"/>
  <c r="H1018" i="1"/>
  <c r="I1018" i="1"/>
  <c r="J1018" i="1"/>
  <c r="B1019" i="1"/>
  <c r="C1019" i="1"/>
  <c r="D1019" i="1"/>
  <c r="E1019" i="1"/>
  <c r="F1019" i="1"/>
  <c r="G1019" i="1"/>
  <c r="H1019" i="1"/>
  <c r="I1019" i="1"/>
  <c r="J1019" i="1"/>
  <c r="B1020" i="1"/>
  <c r="C1020" i="1"/>
  <c r="D1020" i="1"/>
  <c r="E1020" i="1"/>
  <c r="F1020" i="1"/>
  <c r="G1020" i="1"/>
  <c r="H1020" i="1"/>
  <c r="I1020" i="1"/>
  <c r="J1020" i="1"/>
  <c r="B1021" i="1"/>
  <c r="C1021" i="1"/>
  <c r="D1021" i="1"/>
  <c r="E1021" i="1"/>
  <c r="F1021" i="1"/>
  <c r="G1021" i="1"/>
  <c r="H1021" i="1"/>
  <c r="I1021" i="1"/>
  <c r="J1021" i="1"/>
  <c r="B1022" i="1"/>
  <c r="C1022" i="1"/>
  <c r="D1022" i="1"/>
  <c r="E1022" i="1"/>
  <c r="F1022" i="1"/>
  <c r="G1022" i="1"/>
  <c r="H1022" i="1"/>
  <c r="I1022" i="1"/>
  <c r="J1022" i="1"/>
  <c r="B1023" i="1"/>
  <c r="C1023" i="1"/>
  <c r="D1023" i="1"/>
  <c r="E1023" i="1"/>
  <c r="F1023" i="1"/>
  <c r="G1023" i="1"/>
  <c r="H1023" i="1"/>
  <c r="I1023" i="1"/>
  <c r="J1023" i="1"/>
  <c r="B1024" i="1"/>
  <c r="C1024" i="1"/>
  <c r="D1024" i="1"/>
  <c r="E1024" i="1"/>
  <c r="F1024" i="1"/>
  <c r="G1024" i="1"/>
  <c r="H1024" i="1"/>
  <c r="I1024" i="1"/>
  <c r="J1024" i="1"/>
  <c r="B1025" i="1"/>
  <c r="C1025" i="1"/>
  <c r="D1025" i="1"/>
  <c r="E1025" i="1"/>
  <c r="F1025" i="1"/>
  <c r="G1025" i="1"/>
  <c r="H1025" i="1"/>
  <c r="I1025" i="1"/>
  <c r="J1025" i="1"/>
  <c r="B1026" i="1"/>
  <c r="C1026" i="1"/>
  <c r="D1026" i="1"/>
  <c r="E1026" i="1"/>
  <c r="F1026" i="1"/>
  <c r="G1026" i="1"/>
  <c r="H1026" i="1"/>
  <c r="I1026" i="1"/>
  <c r="J1026" i="1"/>
  <c r="B1027" i="1"/>
  <c r="C1027" i="1"/>
  <c r="D1027" i="1"/>
  <c r="E1027" i="1"/>
  <c r="F1027" i="1"/>
  <c r="G1027" i="1"/>
  <c r="H1027" i="1"/>
  <c r="I1027" i="1"/>
  <c r="J1027" i="1"/>
  <c r="B1028" i="1"/>
  <c r="C1028" i="1"/>
  <c r="D1028" i="1"/>
  <c r="E1028" i="1"/>
  <c r="F1028" i="1"/>
  <c r="G1028" i="1"/>
  <c r="H1028" i="1"/>
  <c r="I1028" i="1"/>
  <c r="J1028" i="1"/>
  <c r="B1029" i="1"/>
  <c r="C1029" i="1"/>
  <c r="D1029" i="1"/>
  <c r="E1029" i="1"/>
  <c r="F1029" i="1"/>
  <c r="G1029" i="1"/>
  <c r="H1029" i="1"/>
  <c r="I1029" i="1"/>
  <c r="J1029" i="1"/>
  <c r="B1030" i="1"/>
  <c r="C1030" i="1"/>
  <c r="D1030" i="1"/>
  <c r="E1030" i="1"/>
  <c r="F1030" i="1"/>
  <c r="G1030" i="1"/>
  <c r="H1030" i="1"/>
  <c r="I1030" i="1"/>
  <c r="J1030" i="1"/>
  <c r="B1031" i="1"/>
  <c r="C1031" i="1"/>
  <c r="D1031" i="1"/>
  <c r="E1031" i="1"/>
  <c r="F1031" i="1"/>
  <c r="G1031" i="1"/>
  <c r="H1031" i="1"/>
  <c r="I1031" i="1"/>
  <c r="J1031" i="1"/>
  <c r="B1032" i="1"/>
  <c r="C1032" i="1"/>
  <c r="D1032" i="1"/>
  <c r="E1032" i="1"/>
  <c r="F1032" i="1"/>
  <c r="G1032" i="1"/>
  <c r="H1032" i="1"/>
  <c r="I1032" i="1"/>
  <c r="J1032" i="1"/>
  <c r="B1033" i="1"/>
  <c r="C1033" i="1"/>
  <c r="D1033" i="1"/>
  <c r="E1033" i="1"/>
  <c r="F1033" i="1"/>
  <c r="G1033" i="1"/>
  <c r="H1033" i="1"/>
  <c r="I1033" i="1"/>
  <c r="J1033" i="1"/>
  <c r="B1034" i="1"/>
  <c r="C1034" i="1"/>
  <c r="D1034" i="1"/>
  <c r="E1034" i="1"/>
  <c r="F1034" i="1"/>
  <c r="G1034" i="1"/>
  <c r="H1034" i="1"/>
  <c r="I1034" i="1"/>
  <c r="J1034" i="1"/>
  <c r="B1035" i="1"/>
  <c r="C1035" i="1"/>
  <c r="D1035" i="1"/>
  <c r="E1035" i="1"/>
  <c r="F1035" i="1"/>
  <c r="G1035" i="1"/>
  <c r="H1035" i="1"/>
  <c r="I1035" i="1"/>
  <c r="J1035" i="1"/>
  <c r="B1036" i="1"/>
  <c r="C1036" i="1"/>
  <c r="D1036" i="1"/>
  <c r="E1036" i="1"/>
  <c r="F1036" i="1"/>
  <c r="G1036" i="1"/>
  <c r="H1036" i="1"/>
  <c r="I1036" i="1"/>
  <c r="J1036" i="1"/>
  <c r="B1037" i="1"/>
  <c r="C1037" i="1"/>
  <c r="D1037" i="1"/>
  <c r="E1037" i="1"/>
  <c r="F1037" i="1"/>
  <c r="G1037" i="1"/>
  <c r="H1037" i="1"/>
  <c r="I1037" i="1"/>
  <c r="J1037" i="1"/>
  <c r="B1038" i="1"/>
  <c r="C1038" i="1"/>
  <c r="D1038" i="1"/>
  <c r="E1038" i="1"/>
  <c r="F1038" i="1"/>
  <c r="G1038" i="1"/>
  <c r="H1038" i="1"/>
  <c r="I1038" i="1"/>
  <c r="J1038" i="1"/>
  <c r="B1039" i="1"/>
  <c r="C1039" i="1"/>
  <c r="D1039" i="1"/>
  <c r="E1039" i="1"/>
  <c r="F1039" i="1"/>
  <c r="G1039" i="1"/>
  <c r="H1039" i="1"/>
  <c r="I1039" i="1"/>
  <c r="J1039" i="1"/>
  <c r="B1040" i="1"/>
  <c r="C1040" i="1"/>
  <c r="D1040" i="1"/>
  <c r="E1040" i="1"/>
  <c r="F1040" i="1"/>
  <c r="G1040" i="1"/>
  <c r="H1040" i="1"/>
  <c r="I1040" i="1"/>
  <c r="J1040" i="1"/>
  <c r="B1041" i="1"/>
  <c r="C1041" i="1"/>
  <c r="D1041" i="1"/>
  <c r="E1041" i="1"/>
  <c r="F1041" i="1"/>
  <c r="G1041" i="1"/>
  <c r="H1041" i="1"/>
  <c r="I1041" i="1"/>
  <c r="J1041" i="1"/>
  <c r="B1042" i="1"/>
  <c r="C1042" i="1"/>
  <c r="D1042" i="1"/>
  <c r="E1042" i="1"/>
  <c r="F1042" i="1"/>
  <c r="G1042" i="1"/>
  <c r="H1042" i="1"/>
  <c r="I1042" i="1"/>
  <c r="J1042" i="1"/>
  <c r="B1043" i="1"/>
  <c r="C1043" i="1"/>
  <c r="D1043" i="1"/>
  <c r="E1043" i="1"/>
  <c r="F1043" i="1"/>
  <c r="G1043" i="1"/>
  <c r="H1043" i="1"/>
  <c r="I1043" i="1"/>
  <c r="J1043" i="1"/>
  <c r="B1044" i="1"/>
  <c r="C1044" i="1"/>
  <c r="D1044" i="1"/>
  <c r="E1044" i="1"/>
  <c r="F1044" i="1"/>
  <c r="G1044" i="1"/>
  <c r="H1044" i="1"/>
  <c r="I1044" i="1"/>
  <c r="J1044" i="1"/>
  <c r="B1045" i="1"/>
  <c r="C1045" i="1"/>
  <c r="D1045" i="1"/>
  <c r="E1045" i="1"/>
  <c r="F1045" i="1"/>
  <c r="G1045" i="1"/>
  <c r="H1045" i="1"/>
  <c r="I1045" i="1"/>
  <c r="J1045" i="1"/>
  <c r="B1046" i="1"/>
  <c r="C1046" i="1"/>
  <c r="D1046" i="1"/>
  <c r="E1046" i="1"/>
  <c r="F1046" i="1"/>
  <c r="G1046" i="1"/>
  <c r="H1046" i="1"/>
  <c r="I1046" i="1"/>
  <c r="J1046" i="1"/>
  <c r="B1047" i="1"/>
  <c r="C1047" i="1"/>
  <c r="D1047" i="1"/>
  <c r="E1047" i="1"/>
  <c r="F1047" i="1"/>
  <c r="G1047" i="1"/>
  <c r="H1047" i="1"/>
  <c r="I1047" i="1"/>
  <c r="J1047" i="1"/>
  <c r="B1048" i="1"/>
  <c r="C1048" i="1"/>
  <c r="D1048" i="1"/>
  <c r="E1048" i="1"/>
  <c r="F1048" i="1"/>
  <c r="G1048" i="1"/>
  <c r="H1048" i="1"/>
  <c r="I1048" i="1"/>
  <c r="J1048" i="1"/>
  <c r="D1050" i="1"/>
  <c r="H1050" i="1"/>
  <c r="J1050" i="1"/>
  <c r="L1050" i="1"/>
  <c r="M1050" i="1"/>
  <c r="N1050" i="1"/>
  <c r="O1050" i="1"/>
  <c r="P1050" i="1"/>
  <c r="S1050" i="1"/>
  <c r="D1051" i="1"/>
  <c r="E1051" i="1"/>
  <c r="F1051" i="1"/>
  <c r="H1051" i="1"/>
  <c r="J1051" i="1"/>
  <c r="L1051" i="1"/>
  <c r="M1051" i="1"/>
  <c r="N1051" i="1"/>
  <c r="O1051" i="1"/>
  <c r="P1051" i="1"/>
  <c r="B1052" i="1"/>
  <c r="C1052" i="1"/>
  <c r="J1052" i="1"/>
  <c r="L1052" i="1"/>
  <c r="M1052" i="1"/>
  <c r="N1052" i="1"/>
  <c r="O1052" i="1"/>
  <c r="P1052" i="1"/>
  <c r="Q1052" i="1"/>
  <c r="G1053" i="1"/>
  <c r="H1053" i="1"/>
  <c r="I1053" i="1"/>
  <c r="L1053" i="1"/>
  <c r="M1053" i="1"/>
  <c r="N1053" i="1"/>
  <c r="O1053" i="1"/>
  <c r="P1053" i="1"/>
  <c r="Q1053" i="1"/>
  <c r="B1054" i="1"/>
  <c r="D1054" i="1"/>
  <c r="E1054" i="1"/>
  <c r="H1054" i="1"/>
  <c r="L1054" i="1"/>
  <c r="M1054" i="1"/>
  <c r="N1054" i="1"/>
  <c r="O1054" i="1"/>
  <c r="P1054" i="1"/>
  <c r="Q1054" i="1"/>
  <c r="E1055" i="1"/>
  <c r="F1055" i="1"/>
  <c r="I1055" i="1"/>
  <c r="J1055" i="1"/>
  <c r="L1055" i="1"/>
  <c r="M1055" i="1"/>
  <c r="N1055" i="1"/>
  <c r="O1055" i="1"/>
  <c r="P1055" i="1"/>
  <c r="Q1055" i="1"/>
  <c r="B1056" i="1"/>
  <c r="C1056" i="1"/>
  <c r="F1056" i="1"/>
  <c r="L1056" i="1"/>
  <c r="M1056" i="1"/>
  <c r="N1056" i="1"/>
  <c r="O1056" i="1"/>
  <c r="P1056" i="1"/>
  <c r="Q1056" i="1"/>
  <c r="G1057" i="1"/>
  <c r="H1057" i="1"/>
  <c r="L1057" i="1"/>
  <c r="M1057" i="1"/>
  <c r="N1057" i="1"/>
  <c r="O1057" i="1"/>
  <c r="P1057" i="1"/>
  <c r="Q1057" i="1"/>
  <c r="D1058" i="1"/>
  <c r="E1058" i="1"/>
  <c r="F1058" i="1"/>
  <c r="I1058" i="1"/>
  <c r="L1058" i="1"/>
  <c r="M1058" i="1"/>
  <c r="N1058" i="1"/>
  <c r="O1058" i="1"/>
  <c r="P1058" i="1"/>
  <c r="Q1058" i="1"/>
  <c r="E1059" i="1"/>
  <c r="I1059" i="1"/>
  <c r="J1059" i="1"/>
  <c r="L1059" i="1"/>
  <c r="M1059" i="1"/>
  <c r="N1059" i="1"/>
  <c r="O1059" i="1"/>
  <c r="P1059" i="1"/>
  <c r="Q1059" i="1"/>
  <c r="B1060" i="1"/>
  <c r="C1060" i="1"/>
  <c r="G1060" i="1"/>
  <c r="H1060" i="1"/>
  <c r="J1060" i="1"/>
  <c r="L1060" i="1"/>
  <c r="M1060" i="1"/>
  <c r="N1060" i="1"/>
  <c r="O1060" i="1"/>
  <c r="P1060" i="1"/>
  <c r="Q1060" i="1"/>
  <c r="C1061" i="1"/>
  <c r="D1061" i="1"/>
  <c r="I1061" i="1"/>
  <c r="L1061" i="1"/>
  <c r="M1061" i="1"/>
  <c r="N1061" i="1"/>
  <c r="O1061" i="1"/>
  <c r="P1061" i="1"/>
  <c r="Q1061" i="1"/>
  <c r="D1062" i="1"/>
  <c r="E1062" i="1"/>
  <c r="I1062" i="1"/>
  <c r="J1062" i="1"/>
  <c r="L1062" i="1"/>
  <c r="M1062" i="1"/>
  <c r="N1062" i="1"/>
  <c r="O1062" i="1"/>
  <c r="P1062" i="1"/>
  <c r="Q1062" i="1"/>
  <c r="B1063" i="1"/>
  <c r="C1063" i="1"/>
  <c r="J1063" i="1"/>
  <c r="L1063" i="1"/>
  <c r="M1063" i="1"/>
  <c r="N1063" i="1"/>
  <c r="O1063" i="1"/>
  <c r="P1063" i="1"/>
  <c r="Q1063" i="1"/>
  <c r="D1064" i="1"/>
  <c r="F1064" i="1"/>
  <c r="G1064" i="1"/>
  <c r="J1064" i="1"/>
  <c r="L1064" i="1"/>
  <c r="M1064" i="1"/>
  <c r="N1064" i="1"/>
  <c r="O1064" i="1"/>
  <c r="P1064" i="1"/>
  <c r="Q1064" i="1"/>
  <c r="C1065" i="1"/>
  <c r="D1065" i="1"/>
  <c r="E1065" i="1"/>
  <c r="L1065" i="1"/>
  <c r="M1065" i="1"/>
  <c r="N1065" i="1"/>
  <c r="O1065" i="1"/>
  <c r="P1065" i="1"/>
  <c r="Q1065" i="1"/>
  <c r="F1066" i="1"/>
  <c r="H1066" i="1"/>
  <c r="I1066" i="1"/>
  <c r="L1066" i="1"/>
  <c r="M1066" i="1"/>
  <c r="N1066" i="1"/>
  <c r="O1066" i="1"/>
  <c r="P1066" i="1"/>
  <c r="Q1066" i="1"/>
  <c r="B1067" i="1"/>
  <c r="E1067" i="1"/>
  <c r="I1067" i="1"/>
  <c r="L1067" i="1"/>
  <c r="M1067" i="1"/>
  <c r="N1067" i="1"/>
  <c r="O1067" i="1"/>
  <c r="P1067" i="1"/>
  <c r="Q1067" i="1"/>
  <c r="H1068" i="1"/>
  <c r="J1068" i="1"/>
  <c r="L1068" i="1"/>
  <c r="M1068" i="1"/>
  <c r="N1068" i="1"/>
  <c r="O1068" i="1"/>
  <c r="P1068" i="1"/>
  <c r="Q1068" i="1"/>
  <c r="C1069" i="1"/>
  <c r="D1069" i="1"/>
  <c r="G1069" i="1"/>
  <c r="H1069" i="1"/>
  <c r="I1069" i="1"/>
  <c r="L1069" i="1"/>
  <c r="M1069" i="1"/>
  <c r="N1069" i="1"/>
  <c r="O1069" i="1"/>
  <c r="P1069" i="1"/>
  <c r="Q1069" i="1"/>
  <c r="B1070" i="1"/>
  <c r="D1070" i="1"/>
  <c r="I1070" i="1"/>
  <c r="L1070" i="1"/>
  <c r="M1070" i="1"/>
  <c r="N1070" i="1"/>
  <c r="O1070" i="1"/>
  <c r="P1070" i="1"/>
  <c r="Q1070" i="1"/>
  <c r="B1071" i="1"/>
  <c r="E1071" i="1"/>
  <c r="F1071" i="1"/>
  <c r="J1071" i="1"/>
  <c r="L1071" i="1"/>
  <c r="M1071" i="1"/>
  <c r="N1071" i="1"/>
  <c r="O1071" i="1"/>
  <c r="P1071" i="1"/>
  <c r="Q1071" i="1"/>
  <c r="C1072" i="1"/>
  <c r="G1072" i="1"/>
  <c r="J1072" i="1"/>
  <c r="L1072" i="1"/>
  <c r="M1072" i="1"/>
  <c r="N1072" i="1"/>
  <c r="O1072" i="1"/>
  <c r="P1072" i="1"/>
  <c r="Q1072" i="1"/>
  <c r="A1073" i="1"/>
  <c r="B1073" i="1"/>
  <c r="C1073" i="1"/>
  <c r="F1073" i="1"/>
  <c r="G1073" i="1"/>
  <c r="L1073" i="1"/>
  <c r="M1073" i="1"/>
  <c r="N1073" i="1"/>
  <c r="O1073" i="1"/>
  <c r="P1073" i="1"/>
  <c r="Q1073" i="1"/>
  <c r="A1074" i="1"/>
  <c r="D1074" i="1"/>
  <c r="F1074" i="1"/>
  <c r="J1074" i="1"/>
  <c r="L1074" i="1"/>
  <c r="M1074" i="1"/>
  <c r="N1074" i="1"/>
  <c r="O1074" i="1"/>
  <c r="P1074" i="1"/>
  <c r="Q1074" i="1"/>
  <c r="A1075" i="1"/>
  <c r="B1075" i="1"/>
  <c r="C1075" i="1"/>
  <c r="D1075" i="1"/>
  <c r="L1075" i="1"/>
  <c r="M1075" i="1"/>
  <c r="N1075" i="1"/>
  <c r="O1075" i="1"/>
  <c r="P1075" i="1"/>
  <c r="Q1075" i="1"/>
  <c r="A1076" i="1"/>
  <c r="C1076" i="1"/>
  <c r="D1076" i="1"/>
  <c r="F1076" i="1"/>
  <c r="G1076" i="1"/>
  <c r="J1076" i="1"/>
  <c r="L1076" i="1"/>
  <c r="M1076" i="1"/>
  <c r="N1076" i="1"/>
  <c r="O1076" i="1"/>
  <c r="P1076" i="1"/>
  <c r="Q1076" i="1"/>
  <c r="A1077" i="1"/>
  <c r="B1077" i="1"/>
  <c r="G1077" i="1"/>
  <c r="L1077" i="1"/>
  <c r="M1077" i="1"/>
  <c r="N1077" i="1"/>
  <c r="O1077" i="1"/>
  <c r="P1077" i="1"/>
  <c r="Q1077" i="1"/>
  <c r="A1078" i="1"/>
  <c r="C1078" i="1"/>
  <c r="D1078" i="1"/>
  <c r="F1078" i="1"/>
  <c r="L1078" i="1"/>
  <c r="M1078" i="1"/>
  <c r="N1078" i="1"/>
  <c r="O1078" i="1"/>
  <c r="P1078" i="1"/>
  <c r="Q1078" i="1"/>
  <c r="A1079" i="1"/>
  <c r="C1079" i="1"/>
  <c r="D1079" i="1"/>
  <c r="F1079" i="1"/>
  <c r="G1079" i="1"/>
  <c r="J1079" i="1"/>
  <c r="L1079" i="1"/>
  <c r="M1079" i="1"/>
  <c r="N1079" i="1"/>
  <c r="O1079" i="1"/>
  <c r="P1079" i="1"/>
  <c r="Q1079" i="1"/>
  <c r="A1080" i="1"/>
  <c r="B1080" i="1"/>
  <c r="J1080" i="1"/>
  <c r="L1080" i="1"/>
  <c r="M1080" i="1"/>
  <c r="N1080" i="1"/>
  <c r="O1080" i="1"/>
  <c r="P1080" i="1"/>
  <c r="Q1080" i="1"/>
  <c r="A1081" i="1"/>
  <c r="B1081" i="1"/>
  <c r="C1081" i="1"/>
  <c r="D1081" i="1"/>
  <c r="F1081" i="1"/>
  <c r="G1081" i="1"/>
  <c r="L1081" i="1"/>
  <c r="M1081" i="1"/>
  <c r="N1081" i="1"/>
  <c r="O1081" i="1"/>
  <c r="P1081" i="1"/>
  <c r="Q1081" i="1"/>
  <c r="A1082" i="1"/>
  <c r="D1082" i="1"/>
  <c r="F1082" i="1"/>
  <c r="J1082" i="1"/>
  <c r="L1082" i="1"/>
  <c r="M1082" i="1"/>
  <c r="N1082" i="1"/>
  <c r="O1082" i="1"/>
  <c r="P1082" i="1"/>
  <c r="Q1082" i="1"/>
  <c r="A1083" i="1"/>
  <c r="B1083" i="1"/>
  <c r="D1083" i="1"/>
  <c r="J1083" i="1"/>
  <c r="L1083" i="1"/>
  <c r="M1083" i="1"/>
  <c r="N1083" i="1"/>
  <c r="O1083" i="1"/>
  <c r="P1083" i="1"/>
  <c r="Q1083" i="1"/>
  <c r="A1084" i="1"/>
  <c r="B1084" i="1"/>
  <c r="C1084" i="1"/>
  <c r="D1084" i="1"/>
  <c r="F1084" i="1"/>
  <c r="J1084" i="1"/>
  <c r="L1084" i="1"/>
  <c r="M1084" i="1"/>
  <c r="N1084" i="1"/>
  <c r="O1084" i="1"/>
  <c r="P1084" i="1"/>
  <c r="Q1084" i="1"/>
  <c r="A1085" i="1"/>
  <c r="B1085" i="1"/>
  <c r="F1085" i="1"/>
  <c r="J1085" i="1"/>
  <c r="L1085" i="1"/>
  <c r="M1085" i="1"/>
  <c r="N1085" i="1"/>
  <c r="O1085" i="1"/>
  <c r="P1085" i="1"/>
  <c r="Q1085" i="1"/>
  <c r="A1086" i="1"/>
  <c r="B1086" i="1"/>
  <c r="C1086" i="1"/>
  <c r="D1086" i="1"/>
  <c r="F1086" i="1"/>
  <c r="L1086" i="1"/>
  <c r="M1086" i="1"/>
  <c r="N1086" i="1"/>
  <c r="O1086" i="1"/>
  <c r="P1086" i="1"/>
  <c r="Q1086" i="1"/>
  <c r="A1087" i="1"/>
  <c r="C1087" i="1"/>
  <c r="F1087" i="1"/>
  <c r="G1087" i="1"/>
  <c r="J1087" i="1"/>
  <c r="L1087" i="1"/>
  <c r="M1087" i="1"/>
  <c r="N1087" i="1"/>
  <c r="O1087" i="1"/>
  <c r="P1087" i="1"/>
  <c r="Q1087" i="1"/>
  <c r="A1088" i="1"/>
  <c r="B1088" i="1"/>
  <c r="G1088" i="1"/>
  <c r="J1088" i="1"/>
  <c r="L1088" i="1"/>
  <c r="M1088" i="1"/>
  <c r="N1088" i="1"/>
  <c r="O1088" i="1"/>
  <c r="P1088" i="1"/>
  <c r="Q1088" i="1"/>
  <c r="A1089" i="1"/>
  <c r="B1089" i="1"/>
  <c r="C1089" i="1"/>
  <c r="F1089" i="1"/>
  <c r="G1089" i="1"/>
  <c r="L1089" i="1"/>
  <c r="M1089" i="1"/>
  <c r="N1089" i="1"/>
  <c r="O1089" i="1"/>
  <c r="P1089" i="1"/>
  <c r="Q1089" i="1"/>
  <c r="A1090" i="1"/>
  <c r="C1090" i="1"/>
  <c r="D1090" i="1"/>
  <c r="F1090" i="1"/>
  <c r="H1090" i="1"/>
  <c r="J1090" i="1"/>
  <c r="L1090" i="1"/>
  <c r="M1090" i="1"/>
  <c r="N1090" i="1"/>
  <c r="O1090" i="1"/>
  <c r="P1090" i="1"/>
  <c r="Q1090" i="1"/>
  <c r="A1091" i="1"/>
  <c r="B1091" i="1"/>
  <c r="G1091" i="1"/>
  <c r="H1091" i="1"/>
  <c r="I1091" i="1"/>
  <c r="J1091" i="1"/>
  <c r="L1091" i="1"/>
  <c r="M1091" i="1"/>
  <c r="N1091" i="1"/>
  <c r="O1091" i="1"/>
  <c r="P1091" i="1"/>
  <c r="Q1091" i="1"/>
  <c r="A1092" i="1"/>
  <c r="A1093" i="1" s="1"/>
  <c r="B1092" i="1"/>
  <c r="C1092" i="1"/>
  <c r="H1092" i="1"/>
  <c r="J1092" i="1"/>
  <c r="L1092" i="1"/>
  <c r="M1092" i="1"/>
  <c r="N1092" i="1"/>
  <c r="O1092" i="1"/>
  <c r="P1092" i="1"/>
  <c r="Q1092" i="1"/>
  <c r="B1093" i="1"/>
  <c r="C1093" i="1"/>
  <c r="D1093" i="1"/>
  <c r="H1093" i="1"/>
  <c r="I1093" i="1"/>
  <c r="J1093" i="1"/>
  <c r="L1093" i="1"/>
  <c r="M1093" i="1"/>
  <c r="N1093" i="1"/>
  <c r="O1093" i="1"/>
  <c r="P1093" i="1"/>
  <c r="Q1093" i="1"/>
  <c r="A1094" i="1"/>
  <c r="A1095" i="1" s="1"/>
  <c r="A1096" i="1" s="1"/>
  <c r="A1097" i="1" s="1"/>
  <c r="M1097" i="1" s="1"/>
  <c r="B1094" i="1"/>
  <c r="C1094" i="1"/>
  <c r="I1094" i="1"/>
  <c r="J1094" i="1"/>
  <c r="L1094" i="1"/>
  <c r="M1094" i="1"/>
  <c r="N1094" i="1"/>
  <c r="O1094" i="1"/>
  <c r="P1094" i="1"/>
  <c r="Q1094" i="1"/>
  <c r="B1095" i="1"/>
  <c r="C1095" i="1"/>
  <c r="D1095" i="1"/>
  <c r="F1095" i="1"/>
  <c r="G1095" i="1"/>
  <c r="L1095" i="1"/>
  <c r="M1095" i="1"/>
  <c r="N1095" i="1"/>
  <c r="O1095" i="1"/>
  <c r="P1095" i="1"/>
  <c r="Q1095" i="1"/>
  <c r="B1096" i="1"/>
  <c r="D1096" i="1"/>
  <c r="F1096" i="1"/>
  <c r="H1096" i="1"/>
  <c r="L1096" i="1"/>
  <c r="M1096" i="1"/>
  <c r="N1096" i="1"/>
  <c r="O1096" i="1"/>
  <c r="P1096" i="1"/>
  <c r="Q1096" i="1"/>
  <c r="G1096" i="1" l="1"/>
  <c r="G1092" i="1"/>
  <c r="G1090" i="1"/>
  <c r="C1088" i="1"/>
  <c r="G1085" i="1"/>
  <c r="C1083" i="1"/>
  <c r="G1080" i="1"/>
  <c r="F1077" i="1"/>
  <c r="G1074" i="1"/>
  <c r="B1072" i="1"/>
  <c r="I1071" i="1"/>
  <c r="G1068" i="1"/>
  <c r="F1067" i="1"/>
  <c r="H1062" i="1"/>
  <c r="B1059" i="1"/>
  <c r="H1058" i="1"/>
  <c r="D1056" i="1"/>
  <c r="D1086" i="3"/>
  <c r="D1067" i="3"/>
  <c r="D1089" i="1"/>
  <c r="D1087" i="1"/>
  <c r="G1084" i="1"/>
  <c r="G1082" i="1"/>
  <c r="H1125" i="4"/>
  <c r="F1118" i="4"/>
  <c r="F1097" i="4"/>
  <c r="J1082" i="4"/>
  <c r="H1061" i="4"/>
  <c r="F1094" i="1"/>
  <c r="E1095" i="3"/>
  <c r="K1135" i="4"/>
  <c r="G1134" i="4"/>
  <c r="I1133" i="4"/>
  <c r="K1132" i="4"/>
  <c r="K1131" i="4"/>
  <c r="C1130" i="4"/>
  <c r="G1129" i="4"/>
  <c r="E1128" i="4"/>
  <c r="E1127" i="4"/>
  <c r="I1126" i="4"/>
  <c r="G1125" i="4"/>
  <c r="E1124" i="4"/>
  <c r="C1123" i="4"/>
  <c r="C1122" i="4"/>
  <c r="C1121" i="4"/>
  <c r="K1120" i="4"/>
  <c r="C1119" i="4"/>
  <c r="C1118" i="4"/>
  <c r="G1117" i="4"/>
  <c r="K1116" i="4"/>
  <c r="G1115" i="4"/>
  <c r="C1114" i="4"/>
  <c r="E1113" i="4"/>
  <c r="E1112" i="4"/>
  <c r="G1109" i="4"/>
  <c r="G1108" i="4"/>
  <c r="E1106" i="4"/>
  <c r="C1105" i="4"/>
  <c r="G1104" i="4"/>
  <c r="E1103" i="4"/>
  <c r="G1102" i="4"/>
  <c r="E1101" i="4"/>
  <c r="G1099" i="4"/>
  <c r="C1097" i="4"/>
  <c r="G1096" i="4"/>
  <c r="C1094" i="4"/>
  <c r="K1092" i="4"/>
  <c r="I1089" i="4"/>
  <c r="E1088" i="4"/>
  <c r="E1087" i="4"/>
  <c r="C1086" i="4"/>
  <c r="G1085" i="4"/>
  <c r="G1082" i="4"/>
  <c r="E1081" i="4"/>
  <c r="G1079" i="4"/>
  <c r="E1078" i="4"/>
  <c r="G1077" i="4"/>
  <c r="G1076" i="4"/>
  <c r="G1074" i="4"/>
  <c r="I1073" i="4"/>
  <c r="G1073" i="4"/>
  <c r="G1072" i="4"/>
  <c r="E1071" i="4"/>
  <c r="K1070" i="4"/>
  <c r="K1069" i="4"/>
  <c r="I1065" i="4"/>
  <c r="E1064" i="4"/>
  <c r="G1063" i="4"/>
  <c r="K1062" i="4"/>
  <c r="C1061" i="4"/>
  <c r="E1060" i="4"/>
  <c r="G1059" i="4"/>
  <c r="K1058" i="4"/>
  <c r="K1057" i="4"/>
  <c r="K1056" i="4"/>
  <c r="I1055" i="4"/>
  <c r="G1055" i="4"/>
  <c r="I1054" i="4"/>
  <c r="G1054" i="4"/>
  <c r="K1053" i="4"/>
  <c r="G1052" i="4"/>
  <c r="E1051" i="4"/>
  <c r="G1090" i="4"/>
  <c r="G1050" i="4"/>
  <c r="E1097" i="1"/>
  <c r="N1097" i="1"/>
  <c r="J1097" i="1"/>
  <c r="L1097" i="1"/>
  <c r="B1097" i="1"/>
  <c r="I1097" i="1"/>
  <c r="O1097" i="1"/>
  <c r="A1098" i="1"/>
  <c r="P1097" i="1"/>
  <c r="C1097" i="1"/>
  <c r="Q1097" i="1"/>
  <c r="D1097" i="1"/>
  <c r="F1097" i="1"/>
  <c r="G1097" i="1"/>
  <c r="H1097" i="1"/>
  <c r="C1135" i="4"/>
  <c r="E1134" i="4"/>
  <c r="C1132" i="4"/>
  <c r="I1131" i="4"/>
  <c r="E1131" i="4"/>
  <c r="K1130" i="4"/>
  <c r="E1129" i="4"/>
  <c r="C1128" i="4"/>
  <c r="G1127" i="4"/>
  <c r="C1126" i="4"/>
  <c r="E1125" i="4"/>
  <c r="G1124" i="4"/>
  <c r="I1123" i="4"/>
  <c r="G1123" i="4"/>
  <c r="E1122" i="4"/>
  <c r="G1121" i="4"/>
  <c r="I1120" i="4"/>
  <c r="G1120" i="4"/>
  <c r="E1119" i="4"/>
  <c r="G1118" i="4"/>
  <c r="C1117" i="4"/>
  <c r="C1116" i="4"/>
  <c r="E1115" i="4"/>
  <c r="G1114" i="4"/>
  <c r="K1113" i="4"/>
  <c r="E1111" i="4"/>
  <c r="E1109" i="4"/>
  <c r="K1108" i="4"/>
  <c r="E1107" i="4"/>
  <c r="K1106" i="4"/>
  <c r="I1105" i="4"/>
  <c r="C1104" i="4"/>
  <c r="E1102" i="4"/>
  <c r="I1101" i="4"/>
  <c r="E1099" i="4"/>
  <c r="E1098" i="4"/>
  <c r="I1097" i="4"/>
  <c r="G1097" i="4"/>
  <c r="I1095" i="4"/>
  <c r="G1095" i="4"/>
  <c r="G1094" i="4"/>
  <c r="C1093" i="4"/>
  <c r="E1092" i="4"/>
  <c r="E1091" i="4"/>
  <c r="G1087" i="4"/>
  <c r="E1086" i="4"/>
  <c r="I1085" i="4"/>
  <c r="E1083" i="4"/>
  <c r="E1082" i="4"/>
  <c r="K1081" i="4"/>
  <c r="E1080" i="4"/>
  <c r="C1078" i="4"/>
  <c r="C1077" i="4"/>
  <c r="E1076" i="4"/>
  <c r="E1075" i="4"/>
  <c r="C1074" i="4"/>
  <c r="E1073" i="4"/>
  <c r="C1072" i="4"/>
  <c r="G1071" i="4"/>
  <c r="C1070" i="4"/>
  <c r="C1069" i="4"/>
  <c r="E1068" i="4"/>
  <c r="I1066" i="4"/>
  <c r="G1066" i="4"/>
  <c r="G1065" i="4"/>
  <c r="C1064" i="4"/>
  <c r="E1063" i="4"/>
  <c r="I1062" i="4"/>
  <c r="G1062" i="4"/>
  <c r="G1061" i="4"/>
  <c r="G1060" i="4"/>
  <c r="I1059" i="4"/>
  <c r="C1058" i="4"/>
  <c r="I1057" i="4"/>
  <c r="G1057" i="4"/>
  <c r="G1056" i="4"/>
  <c r="K1054" i="4"/>
  <c r="C1053" i="4"/>
  <c r="E1052" i="4"/>
  <c r="G1051" i="4"/>
  <c r="I1090" i="4"/>
  <c r="I1050" i="4"/>
  <c r="E1050" i="4"/>
  <c r="E1090" i="4"/>
  <c r="I1135" i="4"/>
  <c r="E1135" i="4"/>
  <c r="K1134" i="4"/>
  <c r="E1133" i="4"/>
  <c r="I1132" i="4"/>
  <c r="G1132" i="4"/>
  <c r="C1131" i="4"/>
  <c r="E1130" i="4"/>
  <c r="C1129" i="4"/>
  <c r="G1128" i="4"/>
  <c r="G1126" i="4"/>
  <c r="I1125" i="4"/>
  <c r="I1124" i="4"/>
  <c r="E1123" i="4"/>
  <c r="I1122" i="4"/>
  <c r="G1122" i="4"/>
  <c r="K1121" i="4"/>
  <c r="E1120" i="4"/>
  <c r="I1119" i="4"/>
  <c r="G1119" i="4"/>
  <c r="E1118" i="4"/>
  <c r="E1117" i="4"/>
  <c r="E1116" i="4"/>
  <c r="K1114" i="4"/>
  <c r="C1113" i="4"/>
  <c r="G1111" i="4"/>
  <c r="G1110" i="4"/>
  <c r="K1109" i="4"/>
  <c r="C1108" i="4"/>
  <c r="I1107" i="4"/>
  <c r="I1106" i="4"/>
  <c r="G1106" i="4"/>
  <c r="G1105" i="4"/>
  <c r="G1103" i="4"/>
  <c r="K1102" i="4"/>
  <c r="G1100" i="4"/>
  <c r="K1098" i="4"/>
  <c r="E1097" i="4"/>
  <c r="K1096" i="4"/>
  <c r="I1094" i="4"/>
  <c r="E1093" i="4"/>
  <c r="C1092" i="4"/>
  <c r="G1091" i="4"/>
  <c r="G1089" i="4"/>
  <c r="G1088" i="4"/>
  <c r="I1086" i="4"/>
  <c r="G1086" i="4"/>
  <c r="E1085" i="4"/>
  <c r="E1084" i="4"/>
  <c r="G1083" i="4"/>
  <c r="K1082" i="4"/>
  <c r="I1081" i="4"/>
  <c r="G1080" i="4"/>
  <c r="E1079" i="4"/>
  <c r="I1078" i="4"/>
  <c r="G1078" i="4"/>
  <c r="C1076" i="4"/>
  <c r="K1074" i="4"/>
  <c r="C1073" i="4"/>
  <c r="K1072" i="4"/>
  <c r="E1070" i="4"/>
  <c r="I1069" i="4"/>
  <c r="E1069" i="4"/>
  <c r="K1068" i="4"/>
  <c r="E1067" i="4"/>
  <c r="E1066" i="4"/>
  <c r="K1065" i="4"/>
  <c r="C1062" i="4"/>
  <c r="E1061" i="4"/>
  <c r="K1060" i="4"/>
  <c r="I1058" i="4"/>
  <c r="G1058" i="4"/>
  <c r="E1057" i="4"/>
  <c r="C1056" i="4"/>
  <c r="E1054" i="4"/>
  <c r="I1053" i="4"/>
  <c r="G1053" i="4"/>
  <c r="K1052" i="4"/>
  <c r="I1051" i="4"/>
  <c r="K1090" i="4"/>
  <c r="K1050" i="4"/>
  <c r="G1135" i="4"/>
  <c r="C1134" i="4"/>
  <c r="G1133" i="4"/>
  <c r="E1132" i="4"/>
  <c r="G1131" i="4"/>
  <c r="I1130" i="4"/>
  <c r="G1130" i="4"/>
  <c r="K1129" i="4"/>
  <c r="K1128" i="4"/>
  <c r="C1127" i="4"/>
  <c r="E1126" i="4"/>
  <c r="K1124" i="4"/>
  <c r="K1123" i="4"/>
  <c r="K1122" i="4"/>
  <c r="I1121" i="4"/>
  <c r="E1121" i="4"/>
  <c r="C1120" i="4"/>
  <c r="K1119" i="4"/>
  <c r="K1118" i="4"/>
  <c r="K1117" i="4"/>
  <c r="G1116" i="4"/>
  <c r="E1114" i="4"/>
  <c r="G1113" i="4"/>
  <c r="G1112" i="4"/>
  <c r="I1111" i="4"/>
  <c r="E1110" i="4"/>
  <c r="E1108" i="4"/>
  <c r="G1107" i="4"/>
  <c r="C1106" i="4"/>
  <c r="E1105" i="4"/>
  <c r="E1104" i="4"/>
  <c r="C1102" i="4"/>
  <c r="G1101" i="4"/>
  <c r="E1100" i="4"/>
  <c r="G1098" i="4"/>
  <c r="K1097" i="4"/>
  <c r="E1096" i="4"/>
  <c r="E1095" i="4"/>
  <c r="E1094" i="4"/>
  <c r="G1093" i="4"/>
  <c r="G1092" i="4"/>
  <c r="E1089" i="4"/>
  <c r="K1086" i="4"/>
  <c r="K1085" i="4"/>
  <c r="G1084" i="4"/>
  <c r="I1082" i="4"/>
  <c r="G1081" i="4"/>
  <c r="C1080" i="4"/>
  <c r="I1079" i="4"/>
  <c r="E1077" i="4"/>
  <c r="K1076" i="4"/>
  <c r="G1075" i="4"/>
  <c r="E1074" i="4"/>
  <c r="K1073" i="4"/>
  <c r="E1072" i="4"/>
  <c r="I1071" i="4"/>
  <c r="I1070" i="4"/>
  <c r="G1070" i="4"/>
  <c r="G1069" i="4"/>
  <c r="G1068" i="4"/>
  <c r="I1067" i="4"/>
  <c r="G1067" i="4"/>
  <c r="K1066" i="4"/>
  <c r="E1065" i="4"/>
  <c r="G1064" i="4"/>
  <c r="I1063" i="4"/>
  <c r="E1062" i="4"/>
  <c r="K1061" i="4"/>
  <c r="C1060" i="4"/>
  <c r="E1059" i="4"/>
  <c r="E1058" i="4"/>
  <c r="C1057" i="4"/>
  <c r="E1056" i="4"/>
  <c r="E1055" i="4"/>
  <c r="C1054" i="4"/>
  <c r="E1053" i="4"/>
  <c r="C1052" i="4"/>
  <c r="C1090" i="4"/>
  <c r="C1050" i="4"/>
  <c r="A1098" i="3"/>
  <c r="D1097" i="3"/>
  <c r="E1097" i="3"/>
  <c r="B1097" i="3"/>
  <c r="C1097" i="3"/>
  <c r="F1133" i="4"/>
  <c r="F1129" i="4"/>
  <c r="F1127" i="4"/>
  <c r="F1125" i="4"/>
  <c r="F1122" i="4"/>
  <c r="F1117" i="4"/>
  <c r="F1116" i="4"/>
  <c r="F1115" i="4"/>
  <c r="F1107" i="4"/>
  <c r="F1104" i="4"/>
  <c r="F1100" i="4"/>
  <c r="F1098" i="4"/>
  <c r="D1093" i="4"/>
  <c r="F1092" i="4"/>
  <c r="B1091" i="4"/>
  <c r="J1089" i="4"/>
  <c r="B1088" i="4"/>
  <c r="F1085" i="4"/>
  <c r="B1079" i="4"/>
  <c r="F1073" i="4"/>
  <c r="F1071" i="4"/>
  <c r="F1068" i="4"/>
  <c r="H1067" i="4"/>
  <c r="D1066" i="4"/>
  <c r="F1065" i="4"/>
  <c r="F1064" i="4"/>
  <c r="D1063" i="4"/>
  <c r="B1062" i="4"/>
  <c r="D1061" i="4"/>
  <c r="F1061" i="4"/>
  <c r="B1060" i="4"/>
  <c r="F1060" i="4"/>
  <c r="J1059" i="4"/>
  <c r="B1059" i="4"/>
  <c r="D1059" i="4"/>
  <c r="F1059" i="4"/>
  <c r="J1058" i="4"/>
  <c r="D1058" i="4"/>
  <c r="F1058" i="4"/>
  <c r="F1057" i="4"/>
  <c r="H1056" i="4"/>
  <c r="J1056" i="4"/>
  <c r="B1056" i="4"/>
  <c r="F1056" i="4"/>
  <c r="J1055" i="4"/>
  <c r="D1055" i="4"/>
  <c r="F1055" i="4"/>
  <c r="D1054" i="4"/>
  <c r="F1054" i="4"/>
  <c r="F1053" i="4"/>
  <c r="H1052" i="4"/>
  <c r="J1052" i="4"/>
  <c r="B1052" i="4"/>
  <c r="F1052" i="4"/>
  <c r="J1051" i="4"/>
  <c r="D1051" i="4"/>
  <c r="F1051" i="4"/>
  <c r="H1090" i="4"/>
  <c r="F1090" i="4"/>
  <c r="F1050" i="4"/>
  <c r="I1096" i="1"/>
  <c r="E1095" i="1"/>
  <c r="E1093" i="1"/>
  <c r="I1092" i="1"/>
  <c r="E1091" i="1"/>
  <c r="I1090" i="1"/>
  <c r="E1089" i="1"/>
  <c r="I1088" i="1"/>
  <c r="E1087" i="1"/>
  <c r="I1086" i="1"/>
  <c r="E1085" i="1"/>
  <c r="I1084" i="1"/>
  <c r="E1083" i="1"/>
  <c r="I1082" i="1"/>
  <c r="E1081" i="1"/>
  <c r="I1080" i="1"/>
  <c r="E1079" i="1"/>
  <c r="I1078" i="1"/>
  <c r="E1077" i="1"/>
  <c r="I1076" i="1"/>
  <c r="E1075" i="1"/>
  <c r="I1074" i="1"/>
  <c r="D1073" i="1"/>
  <c r="E1073" i="1"/>
  <c r="I1072" i="1"/>
  <c r="C1071" i="1"/>
  <c r="E1069" i="1"/>
  <c r="I1068" i="1"/>
  <c r="I1064" i="1"/>
  <c r="E1063" i="1"/>
  <c r="E1061" i="1"/>
  <c r="F1060" i="1"/>
  <c r="I1060" i="1"/>
  <c r="E1057" i="1"/>
  <c r="I1056" i="1"/>
  <c r="I1054" i="1"/>
  <c r="D1053" i="1"/>
  <c r="E1053" i="1"/>
  <c r="G1052" i="1"/>
  <c r="E1052" i="1"/>
  <c r="R1051" i="1"/>
  <c r="C1051" i="1"/>
  <c r="D1129" i="4"/>
  <c r="F1135" i="4"/>
  <c r="F1130" i="4"/>
  <c r="F1126" i="4"/>
  <c r="F1124" i="4"/>
  <c r="F1121" i="4"/>
  <c r="F1120" i="4"/>
  <c r="F1119" i="4"/>
  <c r="F1114" i="4"/>
  <c r="F1113" i="4"/>
  <c r="H1112" i="4"/>
  <c r="F1112" i="4"/>
  <c r="F1111" i="4"/>
  <c r="F1110" i="4"/>
  <c r="F1108" i="4"/>
  <c r="F1106" i="4"/>
  <c r="F1105" i="4"/>
  <c r="F1102" i="4"/>
  <c r="D1094" i="4"/>
  <c r="B1093" i="4"/>
  <c r="H1089" i="4"/>
  <c r="F1088" i="4"/>
  <c r="F1086" i="4"/>
  <c r="F1084" i="4"/>
  <c r="F1083" i="4"/>
  <c r="F1082" i="4"/>
  <c r="F1080" i="4"/>
  <c r="F1074" i="4"/>
  <c r="H1072" i="4"/>
  <c r="F1070" i="4"/>
  <c r="H1064" i="4"/>
  <c r="F1063" i="4"/>
  <c r="F1062" i="4"/>
  <c r="D1090" i="4"/>
  <c r="D1050" i="4"/>
  <c r="E1096" i="3"/>
  <c r="E1093" i="3"/>
  <c r="E1092" i="3"/>
  <c r="E1090" i="3"/>
  <c r="E1089" i="3"/>
  <c r="E1088" i="3"/>
  <c r="E1087" i="3"/>
  <c r="E1085" i="3"/>
  <c r="E1084" i="3"/>
  <c r="E1082" i="3"/>
  <c r="E1081" i="3"/>
  <c r="E1080" i="3"/>
  <c r="E1079" i="3"/>
  <c r="E1078" i="3"/>
  <c r="E1077" i="3"/>
  <c r="E1076" i="3"/>
  <c r="E1075" i="3"/>
  <c r="F1134" i="4"/>
  <c r="F1132" i="4"/>
  <c r="F1131" i="4"/>
  <c r="F1128" i="4"/>
  <c r="F1123" i="4"/>
  <c r="F1109" i="4"/>
  <c r="F1101" i="4"/>
  <c r="F1095" i="4"/>
  <c r="F1094" i="4"/>
  <c r="D1091" i="4"/>
  <c r="F1089" i="4"/>
  <c r="J1087" i="4"/>
  <c r="F1081" i="4"/>
  <c r="D1079" i="4"/>
  <c r="F1076" i="4"/>
  <c r="F1075" i="4"/>
  <c r="F1072" i="4"/>
  <c r="B1070" i="4"/>
  <c r="F1066" i="4"/>
  <c r="B1063" i="4"/>
  <c r="B1090" i="4"/>
  <c r="J1095" i="1"/>
  <c r="F1092" i="1"/>
  <c r="J1089" i="1"/>
  <c r="F1088" i="1"/>
  <c r="B1087" i="1"/>
  <c r="J1077" i="1"/>
  <c r="J1075" i="1"/>
  <c r="B1068" i="1"/>
  <c r="G1067" i="1"/>
  <c r="C1064" i="1"/>
  <c r="F1103" i="4"/>
  <c r="F1099" i="4"/>
  <c r="F1096" i="4"/>
  <c r="F1093" i="4"/>
  <c r="F1091" i="4"/>
  <c r="F1087" i="4"/>
  <c r="J1086" i="4"/>
  <c r="F1079" i="4"/>
  <c r="F1078" i="4"/>
  <c r="F1077" i="4"/>
  <c r="J1074" i="4"/>
  <c r="B1072" i="4"/>
  <c r="F1069" i="4"/>
  <c r="H1068" i="4"/>
  <c r="F1067" i="4"/>
  <c r="J1066" i="4"/>
  <c r="H1065" i="4"/>
  <c r="J1064" i="4"/>
  <c r="J1090" i="4"/>
  <c r="J1096" i="1"/>
  <c r="C1096" i="1"/>
  <c r="E1096" i="1"/>
  <c r="H1095" i="1"/>
  <c r="I1095" i="1"/>
  <c r="D1094" i="1"/>
  <c r="E1094" i="1"/>
  <c r="F1093" i="1"/>
  <c r="G1093" i="1"/>
  <c r="D1092" i="1"/>
  <c r="E1092" i="1"/>
  <c r="F1091" i="1"/>
  <c r="B1090" i="1"/>
  <c r="E1090" i="1"/>
  <c r="H1089" i="1"/>
  <c r="I1089" i="1"/>
  <c r="D1088" i="1"/>
  <c r="E1088" i="1"/>
  <c r="H1087" i="1"/>
  <c r="I1087" i="1"/>
  <c r="J1086" i="1"/>
  <c r="E1086" i="1"/>
  <c r="H1085" i="1"/>
  <c r="I1085" i="1"/>
  <c r="E1084" i="1"/>
  <c r="F1083" i="1"/>
  <c r="G1083" i="1"/>
  <c r="H1083" i="1"/>
  <c r="I1083" i="1"/>
  <c r="B1082" i="1"/>
  <c r="C1082" i="1"/>
  <c r="E1082" i="1"/>
  <c r="H1081" i="1"/>
  <c r="I1081" i="1"/>
  <c r="C1080" i="1"/>
  <c r="D1080" i="1"/>
  <c r="E1080" i="1"/>
  <c r="H1079" i="1"/>
  <c r="I1079" i="1"/>
  <c r="J1078" i="1"/>
  <c r="B1078" i="1"/>
  <c r="E1078" i="1"/>
  <c r="H1077" i="1"/>
  <c r="I1077" i="1"/>
  <c r="B1076" i="1"/>
  <c r="E1076" i="1"/>
  <c r="F1075" i="1"/>
  <c r="G1075" i="1"/>
  <c r="H1075" i="1"/>
  <c r="I1075" i="1"/>
  <c r="B1074" i="1"/>
  <c r="C1074" i="1"/>
  <c r="E1074" i="1"/>
  <c r="H1073" i="1"/>
  <c r="I1073" i="1"/>
  <c r="D1072" i="1"/>
  <c r="E1072" i="1"/>
  <c r="G1071" i="1"/>
  <c r="H1071" i="1"/>
  <c r="J1070" i="1"/>
  <c r="C1070" i="1"/>
  <c r="E1070" i="1"/>
  <c r="C1068" i="1"/>
  <c r="D1066" i="1"/>
  <c r="G1065" i="1"/>
  <c r="F1063" i="1"/>
  <c r="G1061" i="1"/>
  <c r="H1135" i="4"/>
  <c r="J1135" i="4"/>
  <c r="B1135" i="4"/>
  <c r="D1135" i="4"/>
  <c r="H1134" i="4"/>
  <c r="J1134" i="4"/>
  <c r="B1134" i="4"/>
  <c r="D1134" i="4"/>
  <c r="H1133" i="4"/>
  <c r="J1133" i="4"/>
  <c r="B1133" i="4"/>
  <c r="D1133" i="4"/>
  <c r="H1132" i="4"/>
  <c r="J1132" i="4"/>
  <c r="B1132" i="4"/>
  <c r="D1132" i="4"/>
  <c r="H1131" i="4"/>
  <c r="J1131" i="4"/>
  <c r="B1131" i="4"/>
  <c r="D1131" i="4"/>
  <c r="H1130" i="4"/>
  <c r="J1130" i="4"/>
  <c r="B1130" i="4"/>
  <c r="D1130" i="4"/>
  <c r="H1129" i="4"/>
  <c r="J1129" i="4"/>
  <c r="B1129" i="4"/>
  <c r="H1128" i="4"/>
  <c r="J1128" i="4"/>
  <c r="B1128" i="4"/>
  <c r="D1128" i="4"/>
  <c r="H1127" i="4"/>
  <c r="J1127" i="4"/>
  <c r="B1127" i="4"/>
  <c r="D1127" i="4"/>
  <c r="H1126" i="4"/>
  <c r="J1126" i="4"/>
  <c r="B1126" i="4"/>
  <c r="D1126" i="4"/>
  <c r="J1125" i="4"/>
  <c r="B1125" i="4"/>
  <c r="D1125" i="4"/>
  <c r="H1124" i="4"/>
  <c r="J1124" i="4"/>
  <c r="B1124" i="4"/>
  <c r="D1124" i="4"/>
  <c r="H1123" i="4"/>
  <c r="J1123" i="4"/>
  <c r="B1123" i="4"/>
  <c r="D1123" i="4"/>
  <c r="H1122" i="4"/>
  <c r="J1122" i="4"/>
  <c r="B1122" i="4"/>
  <c r="D1122" i="4"/>
  <c r="H1121" i="4"/>
  <c r="J1121" i="4"/>
  <c r="B1121" i="4"/>
  <c r="D1121" i="4"/>
  <c r="H1120" i="4"/>
  <c r="J1120" i="4"/>
  <c r="B1120" i="4"/>
  <c r="D1120" i="4"/>
  <c r="H1119" i="4"/>
  <c r="J1119" i="4"/>
  <c r="B1119" i="4"/>
  <c r="D1119" i="4"/>
  <c r="H1118" i="4"/>
  <c r="J1118" i="4"/>
  <c r="B1118" i="4"/>
  <c r="D1118" i="4"/>
  <c r="H1117" i="4"/>
  <c r="J1117" i="4"/>
  <c r="B1117" i="4"/>
  <c r="D1117" i="4"/>
  <c r="H1116" i="4"/>
  <c r="J1116" i="4"/>
  <c r="B1116" i="4"/>
  <c r="D1116" i="4"/>
  <c r="H1115" i="4"/>
  <c r="J1115" i="4"/>
  <c r="B1115" i="4"/>
  <c r="D1115" i="4"/>
  <c r="H1114" i="4"/>
  <c r="J1114" i="4"/>
  <c r="D1114" i="4"/>
  <c r="H1113" i="4"/>
  <c r="J1113" i="4"/>
  <c r="B1113" i="4"/>
  <c r="D1113" i="4"/>
  <c r="J1112" i="4"/>
  <c r="B1112" i="4"/>
  <c r="D1112" i="4"/>
  <c r="H1111" i="4"/>
  <c r="J1111" i="4"/>
  <c r="B1111" i="4"/>
  <c r="D1111" i="4"/>
  <c r="H1110" i="4"/>
  <c r="J1110" i="4"/>
  <c r="B1110" i="4"/>
  <c r="D1110" i="4"/>
  <c r="H1109" i="4"/>
  <c r="J1109" i="4"/>
  <c r="B1109" i="4"/>
  <c r="D1109" i="4"/>
  <c r="H1108" i="4"/>
  <c r="J1108" i="4"/>
  <c r="B1108" i="4"/>
  <c r="D1108" i="4"/>
  <c r="H1107" i="4"/>
  <c r="J1107" i="4"/>
  <c r="B1107" i="4"/>
  <c r="D1107" i="4"/>
  <c r="H1106" i="4"/>
  <c r="J1106" i="4"/>
  <c r="B1106" i="4"/>
  <c r="D1106" i="4"/>
  <c r="H1105" i="4"/>
  <c r="J1105" i="4"/>
  <c r="B1105" i="4"/>
  <c r="D1105" i="4"/>
  <c r="H1104" i="4"/>
  <c r="J1104" i="4"/>
  <c r="B1104" i="4"/>
  <c r="D1104" i="4"/>
  <c r="H1103" i="4"/>
  <c r="J1103" i="4"/>
  <c r="B1103" i="4"/>
  <c r="D1103" i="4"/>
  <c r="H1102" i="4"/>
  <c r="J1102" i="4"/>
  <c r="B1102" i="4"/>
  <c r="D1102" i="4"/>
  <c r="H1101" i="4"/>
  <c r="J1101" i="4"/>
  <c r="B1101" i="4"/>
  <c r="D1101" i="4"/>
  <c r="H1100" i="4"/>
  <c r="J1100" i="4"/>
  <c r="B1100" i="4"/>
  <c r="D1100" i="4"/>
  <c r="H1099" i="4"/>
  <c r="J1099" i="4"/>
  <c r="B1099" i="4"/>
  <c r="D1099" i="4"/>
  <c r="H1098" i="4"/>
  <c r="J1098" i="4"/>
  <c r="B1098" i="4"/>
  <c r="D1098" i="4"/>
  <c r="H1097" i="4"/>
  <c r="J1097" i="4"/>
  <c r="B1097" i="4"/>
  <c r="D1097" i="4"/>
  <c r="H1096" i="4"/>
  <c r="J1096" i="4"/>
  <c r="B1096" i="4"/>
  <c r="D1096" i="4"/>
  <c r="H1095" i="4"/>
  <c r="J1095" i="4"/>
  <c r="B1095" i="4"/>
  <c r="D1095" i="4"/>
  <c r="H1094" i="4"/>
  <c r="J1094" i="4"/>
  <c r="H1091" i="4"/>
  <c r="B1086" i="4"/>
  <c r="H1084" i="4"/>
  <c r="J1084" i="4"/>
  <c r="D1081" i="4"/>
  <c r="D1077" i="4"/>
  <c r="G1094" i="1"/>
  <c r="C1091" i="1"/>
  <c r="H1088" i="1"/>
  <c r="G1086" i="1"/>
  <c r="H1086" i="1"/>
  <c r="C1085" i="1"/>
  <c r="D1085" i="1"/>
  <c r="H1084" i="1"/>
  <c r="H1082" i="1"/>
  <c r="H1080" i="1"/>
  <c r="G1078" i="1"/>
  <c r="H1078" i="1"/>
  <c r="C1077" i="1"/>
  <c r="D1077" i="1"/>
  <c r="H1076" i="1"/>
  <c r="H1074" i="1"/>
  <c r="H1072" i="1"/>
  <c r="D1071" i="1"/>
  <c r="G1070" i="1"/>
  <c r="H1070" i="1"/>
  <c r="C1067" i="1"/>
  <c r="D1067" i="1"/>
  <c r="G1066" i="1"/>
  <c r="H1064" i="1"/>
  <c r="D1063" i="1"/>
  <c r="G1062" i="1"/>
  <c r="C1059" i="1"/>
  <c r="D1059" i="1"/>
  <c r="G1058" i="1"/>
  <c r="C1057" i="1"/>
  <c r="D1057" i="1"/>
  <c r="G1056" i="1"/>
  <c r="H1056" i="1"/>
  <c r="C1055" i="1"/>
  <c r="D1055" i="1"/>
  <c r="G1054" i="1"/>
  <c r="C1053" i="1"/>
  <c r="D1052" i="1"/>
  <c r="R1050" i="1"/>
  <c r="E1050" i="1"/>
  <c r="H1094" i="1"/>
  <c r="D1091" i="1"/>
  <c r="J1081" i="1"/>
  <c r="F1080" i="1"/>
  <c r="B1079" i="1"/>
  <c r="J1073" i="1"/>
  <c r="F1072" i="1"/>
  <c r="F1070" i="1"/>
  <c r="J1069" i="1"/>
  <c r="B1069" i="1"/>
  <c r="F1068" i="1"/>
  <c r="J1067" i="1"/>
  <c r="E1066" i="1"/>
  <c r="H1065" i="1"/>
  <c r="J1065" i="1"/>
  <c r="B1065" i="1"/>
  <c r="B1064" i="1"/>
  <c r="I1063" i="1"/>
  <c r="B1062" i="1"/>
  <c r="F1062" i="1"/>
  <c r="H1061" i="1"/>
  <c r="J1061" i="1"/>
  <c r="B1061" i="1"/>
  <c r="F1059" i="1"/>
  <c r="G1059" i="1"/>
  <c r="J1057" i="1"/>
  <c r="B1057" i="1"/>
  <c r="J1056" i="1"/>
  <c r="B1055" i="1"/>
  <c r="J1054" i="1"/>
  <c r="F1054" i="1"/>
  <c r="J1053" i="1"/>
  <c r="B1053" i="1"/>
  <c r="H1052" i="1"/>
  <c r="B1051" i="1"/>
  <c r="K1050" i="1"/>
  <c r="C1050" i="1"/>
  <c r="F1050" i="1"/>
  <c r="B1077" i="2"/>
  <c r="A1078" i="2"/>
  <c r="F1069" i="1"/>
  <c r="D1068" i="1"/>
  <c r="E1068" i="1"/>
  <c r="H1067" i="1"/>
  <c r="J1066" i="1"/>
  <c r="B1066" i="1"/>
  <c r="C1066" i="1"/>
  <c r="F1065" i="1"/>
  <c r="I1065" i="1"/>
  <c r="E1064" i="1"/>
  <c r="G1063" i="1"/>
  <c r="H1063" i="1"/>
  <c r="C1062" i="1"/>
  <c r="F1061" i="1"/>
  <c r="D1060" i="1"/>
  <c r="E1060" i="1"/>
  <c r="H1059" i="1"/>
  <c r="J1058" i="1"/>
  <c r="B1058" i="1"/>
  <c r="C1058" i="1"/>
  <c r="F1057" i="1"/>
  <c r="I1057" i="1"/>
  <c r="E1056" i="1"/>
  <c r="G1055" i="1"/>
  <c r="H1055" i="1"/>
  <c r="C1054" i="1"/>
  <c r="F1053" i="1"/>
  <c r="I1052" i="1"/>
  <c r="G1051" i="1"/>
  <c r="G1050" i="1"/>
  <c r="B1050" i="1"/>
  <c r="D1096" i="3"/>
  <c r="D1095" i="3"/>
  <c r="D1094" i="3"/>
  <c r="D1093" i="3"/>
  <c r="D1092" i="3"/>
  <c r="D1091" i="3"/>
  <c r="D1090" i="3"/>
  <c r="D1088" i="3"/>
  <c r="D1084" i="3"/>
  <c r="D1083" i="3"/>
  <c r="D1080" i="3"/>
  <c r="D1078" i="3"/>
  <c r="D1077" i="3"/>
  <c r="D1076" i="3"/>
  <c r="D1075" i="3"/>
  <c r="D1073" i="3"/>
  <c r="D1072" i="3"/>
  <c r="D1071" i="3"/>
  <c r="D1070" i="3"/>
  <c r="D1068" i="3"/>
  <c r="D1066" i="3"/>
  <c r="D1065" i="3"/>
  <c r="D1064" i="3"/>
  <c r="D1062" i="3"/>
  <c r="D1061" i="3"/>
  <c r="D1060" i="3"/>
  <c r="D1059" i="3"/>
  <c r="D1058" i="3"/>
  <c r="D1057" i="3"/>
  <c r="D1056" i="3"/>
  <c r="D1054" i="3"/>
  <c r="D1052" i="3"/>
  <c r="D1051" i="3"/>
  <c r="D1050" i="3"/>
  <c r="B1093" i="3"/>
  <c r="B1090" i="3"/>
  <c r="B1085" i="3"/>
  <c r="B1082" i="3"/>
  <c r="B1077" i="3"/>
  <c r="B1074" i="3"/>
  <c r="C1096" i="3"/>
  <c r="C1093" i="3"/>
  <c r="C1088" i="3"/>
  <c r="C1085" i="3"/>
  <c r="C1080" i="3"/>
  <c r="C1078" i="3"/>
  <c r="C1077" i="3"/>
  <c r="C1076" i="3"/>
  <c r="C1074" i="3"/>
  <c r="C1072" i="3"/>
  <c r="C1070" i="3"/>
  <c r="C1069" i="3"/>
  <c r="C1068" i="3"/>
  <c r="C1066" i="3"/>
  <c r="C1064" i="3"/>
  <c r="C1062" i="3"/>
  <c r="C1061" i="3"/>
  <c r="C1060" i="3"/>
  <c r="C1058" i="3"/>
  <c r="C1056" i="3"/>
  <c r="C1054" i="3"/>
  <c r="C1053" i="3"/>
  <c r="C1052" i="3"/>
  <c r="C1050" i="3"/>
  <c r="E1094" i="3"/>
  <c r="E1091" i="3"/>
  <c r="E1086" i="3"/>
  <c r="E1083" i="3"/>
  <c r="B1094" i="4"/>
  <c r="H1093" i="4"/>
  <c r="J1093" i="4"/>
  <c r="H1092" i="4"/>
  <c r="J1092" i="4"/>
  <c r="B1092" i="4"/>
  <c r="D1092" i="4"/>
  <c r="J1091" i="4"/>
  <c r="B1089" i="4"/>
  <c r="D1089" i="4"/>
  <c r="H1088" i="4"/>
  <c r="J1088" i="4"/>
  <c r="D1088" i="4"/>
  <c r="H1087" i="4"/>
  <c r="B1087" i="4"/>
  <c r="D1087" i="4"/>
  <c r="H1086" i="4"/>
  <c r="D1086" i="4"/>
  <c r="H1085" i="4"/>
  <c r="J1085" i="4"/>
  <c r="B1085" i="4"/>
  <c r="D1085" i="4"/>
  <c r="B1084" i="4"/>
  <c r="D1084" i="4"/>
  <c r="H1083" i="4"/>
  <c r="J1083" i="4"/>
  <c r="B1083" i="4"/>
  <c r="D1083" i="4"/>
  <c r="H1082" i="4"/>
  <c r="B1082" i="4"/>
  <c r="D1082" i="4"/>
  <c r="H1081" i="4"/>
  <c r="J1081" i="4"/>
  <c r="B1081" i="4"/>
  <c r="H1080" i="4"/>
  <c r="J1080" i="4"/>
  <c r="B1080" i="4"/>
  <c r="D1080" i="4"/>
  <c r="H1079" i="4"/>
  <c r="J1079" i="4"/>
  <c r="H1078" i="4"/>
  <c r="J1078" i="4"/>
  <c r="B1078" i="4"/>
  <c r="D1078" i="4"/>
  <c r="H1077" i="4"/>
  <c r="J1077" i="4"/>
  <c r="B1077" i="4"/>
  <c r="H1076" i="4"/>
  <c r="J1076" i="4"/>
  <c r="B1076" i="4"/>
  <c r="D1076" i="4"/>
  <c r="H1075" i="4"/>
  <c r="J1075" i="4"/>
  <c r="B1075" i="4"/>
  <c r="D1075" i="4"/>
  <c r="H1074" i="4"/>
  <c r="B1074" i="4"/>
  <c r="D1074" i="4"/>
  <c r="H1073" i="4"/>
  <c r="J1073" i="4"/>
  <c r="B1073" i="4"/>
  <c r="D1073" i="4"/>
  <c r="J1072" i="4"/>
  <c r="D1072" i="4"/>
  <c r="H1071" i="4"/>
  <c r="J1071" i="4"/>
  <c r="B1071" i="4"/>
  <c r="D1071" i="4"/>
  <c r="H1070" i="4"/>
  <c r="J1070" i="4"/>
  <c r="D1070" i="4"/>
  <c r="H1069" i="4"/>
  <c r="J1069" i="4"/>
  <c r="B1069" i="4"/>
  <c r="D1069" i="4"/>
  <c r="J1068" i="4"/>
  <c r="B1068" i="4"/>
  <c r="D1068" i="4"/>
  <c r="J1067" i="4"/>
  <c r="B1067" i="4"/>
  <c r="D1067" i="4"/>
  <c r="D1065" i="4"/>
  <c r="H1063" i="4"/>
  <c r="D1062" i="4"/>
  <c r="B1058" i="4"/>
  <c r="I1134" i="4"/>
  <c r="K1133" i="4"/>
  <c r="C1133" i="4"/>
  <c r="I1129" i="4"/>
  <c r="I1128" i="4"/>
  <c r="I1127" i="4"/>
  <c r="K1127" i="4"/>
  <c r="K1126" i="4"/>
  <c r="K1125" i="4"/>
  <c r="C1125" i="4"/>
  <c r="C1124" i="4"/>
  <c r="I1118" i="4"/>
  <c r="I1117" i="4"/>
  <c r="I1115" i="4"/>
  <c r="C1112" i="4"/>
  <c r="I1110" i="4"/>
  <c r="I1109" i="4"/>
  <c r="K1105" i="4"/>
  <c r="K1104" i="4"/>
  <c r="C1101" i="4"/>
  <c r="I1099" i="4"/>
  <c r="I1098" i="4"/>
  <c r="C1096" i="4"/>
  <c r="K1094" i="4"/>
  <c r="K1093" i="4"/>
  <c r="K1088" i="4"/>
  <c r="I1087" i="4"/>
  <c r="C1085" i="4"/>
  <c r="K1084" i="4"/>
  <c r="I1083" i="4"/>
  <c r="H1066" i="4"/>
  <c r="B1066" i="4"/>
  <c r="J1065" i="4"/>
  <c r="B1065" i="4"/>
  <c r="B1064" i="4"/>
  <c r="D1064" i="4"/>
  <c r="J1063" i="4"/>
  <c r="H1062" i="4"/>
  <c r="J1062" i="4"/>
  <c r="J1061" i="4"/>
  <c r="B1061" i="4"/>
  <c r="H1060" i="4"/>
  <c r="J1060" i="4"/>
  <c r="D1060" i="4"/>
  <c r="H1059" i="4"/>
  <c r="H1058" i="4"/>
  <c r="H1057" i="4"/>
  <c r="J1057" i="4"/>
  <c r="B1057" i="4"/>
  <c r="D1057" i="4"/>
  <c r="B1055" i="4"/>
  <c r="H1053" i="4"/>
  <c r="B1051" i="4"/>
  <c r="I1116" i="4"/>
  <c r="K1115" i="4"/>
  <c r="C1115" i="4"/>
  <c r="I1114" i="4"/>
  <c r="I1113" i="4"/>
  <c r="I1112" i="4"/>
  <c r="K1112" i="4"/>
  <c r="K1111" i="4"/>
  <c r="C1111" i="4"/>
  <c r="K1110" i="4"/>
  <c r="C1110" i="4"/>
  <c r="C1109" i="4"/>
  <c r="I1108" i="4"/>
  <c r="K1107" i="4"/>
  <c r="C1107" i="4"/>
  <c r="I1104" i="4"/>
  <c r="I1103" i="4"/>
  <c r="K1103" i="4"/>
  <c r="C1103" i="4"/>
  <c r="I1102" i="4"/>
  <c r="K1101" i="4"/>
  <c r="I1100" i="4"/>
  <c r="K1100" i="4"/>
  <c r="C1100" i="4"/>
  <c r="K1099" i="4"/>
  <c r="C1099" i="4"/>
  <c r="C1098" i="4"/>
  <c r="I1096" i="4"/>
  <c r="K1095" i="4"/>
  <c r="C1095" i="4"/>
  <c r="I1093" i="4"/>
  <c r="I1092" i="4"/>
  <c r="I1091" i="4"/>
  <c r="K1091" i="4"/>
  <c r="C1091" i="4"/>
  <c r="K1089" i="4"/>
  <c r="C1089" i="4"/>
  <c r="I1088" i="4"/>
  <c r="C1088" i="4"/>
  <c r="K1087" i="4"/>
  <c r="C1087" i="4"/>
  <c r="I1084" i="4"/>
  <c r="C1084" i="4"/>
  <c r="K1083" i="4"/>
  <c r="C1083" i="4"/>
  <c r="C1082" i="4"/>
  <c r="C1081" i="4"/>
  <c r="I1080" i="4"/>
  <c r="K1080" i="4"/>
  <c r="K1079" i="4"/>
  <c r="C1079" i="4"/>
  <c r="K1078" i="4"/>
  <c r="I1077" i="4"/>
  <c r="K1077" i="4"/>
  <c r="I1076" i="4"/>
  <c r="I1075" i="4"/>
  <c r="K1075" i="4"/>
  <c r="C1075" i="4"/>
  <c r="I1074" i="4"/>
  <c r="I1072" i="4"/>
  <c r="K1071" i="4"/>
  <c r="C1071" i="4"/>
  <c r="C1068" i="4"/>
  <c r="C1066" i="4"/>
  <c r="C1065" i="4"/>
  <c r="K1064" i="4"/>
  <c r="I1061" i="4"/>
  <c r="D1056" i="4"/>
  <c r="H1055" i="4"/>
  <c r="H1054" i="4"/>
  <c r="J1054" i="4"/>
  <c r="B1054" i="4"/>
  <c r="J1053" i="4"/>
  <c r="B1053" i="4"/>
  <c r="D1053" i="4"/>
  <c r="D1052" i="4"/>
  <c r="H1051" i="4"/>
  <c r="H1050" i="4"/>
  <c r="J1050" i="4"/>
  <c r="B1050" i="4"/>
  <c r="I1068" i="4"/>
  <c r="K1067" i="4"/>
  <c r="C1067" i="4"/>
  <c r="I1064" i="4"/>
  <c r="K1063" i="4"/>
  <c r="C1063" i="4"/>
  <c r="I1060" i="4"/>
  <c r="K1059" i="4"/>
  <c r="C1059" i="4"/>
  <c r="I1056" i="4"/>
  <c r="K1055" i="4"/>
  <c r="C1055" i="4"/>
  <c r="I1052" i="4"/>
  <c r="K1051" i="4"/>
  <c r="C1051" i="4"/>
  <c r="B1098" i="3" l="1"/>
  <c r="D1098" i="3"/>
  <c r="E1098" i="3"/>
  <c r="A1099" i="3"/>
  <c r="C1098" i="3"/>
  <c r="E1098" i="1"/>
  <c r="N1098" i="1"/>
  <c r="C1098" i="1"/>
  <c r="M1098" i="1"/>
  <c r="O1098" i="1"/>
  <c r="D1098" i="1"/>
  <c r="G1098" i="1"/>
  <c r="J1098" i="1"/>
  <c r="L1098" i="1"/>
  <c r="P1098" i="1"/>
  <c r="Q1098" i="1"/>
  <c r="H1098" i="1"/>
  <c r="B1098" i="1"/>
  <c r="A1099" i="1"/>
  <c r="F1098" i="1"/>
  <c r="I1098" i="1"/>
  <c r="B1078" i="2"/>
  <c r="A1079" i="2"/>
  <c r="B1079" i="2" l="1"/>
  <c r="A1080" i="2"/>
  <c r="D1099" i="3"/>
  <c r="E1099" i="3"/>
  <c r="A1100" i="3"/>
  <c r="B1099" i="3"/>
  <c r="C1099" i="3"/>
  <c r="E1099" i="1"/>
  <c r="N1099" i="1"/>
  <c r="F1099" i="1"/>
  <c r="P1099" i="1"/>
  <c r="G1099" i="1"/>
  <c r="Q1099" i="1"/>
  <c r="B1099" i="1"/>
  <c r="O1099" i="1"/>
  <c r="I1099" i="1"/>
  <c r="M1099" i="1"/>
  <c r="J1099" i="1"/>
  <c r="L1099" i="1"/>
  <c r="A1100" i="1"/>
  <c r="C1099" i="1"/>
  <c r="D1099" i="1"/>
  <c r="H1099" i="1"/>
  <c r="D1100" i="3" l="1"/>
  <c r="E1100" i="3"/>
  <c r="A1101" i="3"/>
  <c r="C1100" i="3"/>
  <c r="B1100" i="3"/>
  <c r="E1100" i="1"/>
  <c r="N1100" i="1"/>
  <c r="H1100" i="1"/>
  <c r="A1101" i="1"/>
  <c r="I1100" i="1"/>
  <c r="L1100" i="1"/>
  <c r="F1100" i="1"/>
  <c r="G1100" i="1"/>
  <c r="C1100" i="1"/>
  <c r="J1100" i="1"/>
  <c r="M1100" i="1"/>
  <c r="Q1100" i="1"/>
  <c r="O1100" i="1"/>
  <c r="B1100" i="1"/>
  <c r="P1100" i="1"/>
  <c r="D1100" i="1"/>
  <c r="A1081" i="2"/>
  <c r="B1080" i="2"/>
  <c r="B1081" i="2" l="1"/>
  <c r="A1082" i="2"/>
  <c r="B1101" i="3"/>
  <c r="C1101" i="3"/>
  <c r="A1102" i="3"/>
  <c r="E1101" i="3"/>
  <c r="D1101" i="3"/>
  <c r="E1101" i="1"/>
  <c r="N1101" i="1"/>
  <c r="J1101" i="1"/>
  <c r="L1101" i="1"/>
  <c r="B1101" i="1"/>
  <c r="G1101" i="1"/>
  <c r="D1101" i="1"/>
  <c r="A1102" i="1"/>
  <c r="F1101" i="1"/>
  <c r="I1101" i="1"/>
  <c r="H1101" i="1"/>
  <c r="M1101" i="1"/>
  <c r="O1101" i="1"/>
  <c r="P1101" i="1"/>
  <c r="C1101" i="1"/>
  <c r="Q1101" i="1"/>
  <c r="E1102" i="3" l="1"/>
  <c r="A1103" i="3"/>
  <c r="D1102" i="3"/>
  <c r="B1102" i="3"/>
  <c r="C1102" i="3"/>
  <c r="E1102" i="1"/>
  <c r="N1102" i="1"/>
  <c r="C1102" i="1"/>
  <c r="M1102" i="1"/>
  <c r="O1102" i="1"/>
  <c r="D1102" i="1"/>
  <c r="B1102" i="1"/>
  <c r="Q1102" i="1"/>
  <c r="A1103" i="1"/>
  <c r="H1102" i="1"/>
  <c r="F1102" i="1"/>
  <c r="G1102" i="1"/>
  <c r="L1102" i="1"/>
  <c r="I1102" i="1"/>
  <c r="J1102" i="1"/>
  <c r="P1102" i="1"/>
  <c r="A1083" i="2"/>
  <c r="B1082" i="2"/>
  <c r="B1083" i="2" l="1"/>
  <c r="A1084" i="2"/>
  <c r="E1103" i="1"/>
  <c r="N1103" i="1"/>
  <c r="F1103" i="1"/>
  <c r="P1103" i="1"/>
  <c r="Q1103" i="1"/>
  <c r="G1103" i="1"/>
  <c r="L1103" i="1"/>
  <c r="O1103" i="1"/>
  <c r="B1103" i="1"/>
  <c r="A1104" i="1"/>
  <c r="J1103" i="1"/>
  <c r="C1103" i="1"/>
  <c r="D1103" i="1"/>
  <c r="H1103" i="1"/>
  <c r="I1103" i="1"/>
  <c r="M1103" i="1"/>
  <c r="B1103" i="3"/>
  <c r="C1103" i="3"/>
  <c r="A1104" i="3"/>
  <c r="D1103" i="3"/>
  <c r="E1103" i="3"/>
  <c r="C1104" i="3" l="1"/>
  <c r="D1104" i="3"/>
  <c r="A1105" i="3"/>
  <c r="E1104" i="3"/>
  <c r="B1104" i="3"/>
  <c r="E1104" i="1"/>
  <c r="N1104" i="1"/>
  <c r="H1104" i="1"/>
  <c r="A1105" i="1"/>
  <c r="I1104" i="1"/>
  <c r="G1104" i="1"/>
  <c r="M1104" i="1"/>
  <c r="C1104" i="1"/>
  <c r="O1104" i="1"/>
  <c r="Q1104" i="1"/>
  <c r="B1104" i="1"/>
  <c r="P1104" i="1"/>
  <c r="D1104" i="1"/>
  <c r="F1104" i="1"/>
  <c r="J1104" i="1"/>
  <c r="L1104" i="1"/>
  <c r="A1085" i="2"/>
  <c r="B1084" i="2"/>
  <c r="A1106" i="3" l="1"/>
  <c r="B1105" i="3"/>
  <c r="C1105" i="3"/>
  <c r="D1105" i="3"/>
  <c r="E1105" i="3"/>
  <c r="E1105" i="1"/>
  <c r="N1105" i="1"/>
  <c r="J1105" i="1"/>
  <c r="L1105" i="1"/>
  <c r="B1105" i="1"/>
  <c r="D1105" i="1"/>
  <c r="Q1105" i="1"/>
  <c r="I1105" i="1"/>
  <c r="M1105" i="1"/>
  <c r="O1105" i="1"/>
  <c r="P1105" i="1"/>
  <c r="G1105" i="1"/>
  <c r="C1105" i="1"/>
  <c r="A1106" i="1"/>
  <c r="F1105" i="1"/>
  <c r="H1105" i="1"/>
  <c r="B1085" i="2"/>
  <c r="A1086" i="2"/>
  <c r="B1086" i="2" l="1"/>
  <c r="A1087" i="2"/>
  <c r="E1106" i="1"/>
  <c r="N1106" i="1"/>
  <c r="C1106" i="1"/>
  <c r="M1106" i="1"/>
  <c r="O1106" i="1"/>
  <c r="D1106" i="1"/>
  <c r="L1106" i="1"/>
  <c r="H1106" i="1"/>
  <c r="P1106" i="1"/>
  <c r="I1106" i="1"/>
  <c r="J1106" i="1"/>
  <c r="Q1106" i="1"/>
  <c r="B1106" i="1"/>
  <c r="A1107" i="1"/>
  <c r="F1106" i="1"/>
  <c r="G1106" i="1"/>
  <c r="B1106" i="3"/>
  <c r="A1107" i="3"/>
  <c r="C1106" i="3"/>
  <c r="D1106" i="3"/>
  <c r="E1106" i="3"/>
  <c r="E1107" i="1" l="1"/>
  <c r="N1107" i="1"/>
  <c r="F1107" i="1"/>
  <c r="P1107" i="1"/>
  <c r="Q1107" i="1"/>
  <c r="G1107" i="1"/>
  <c r="I1107" i="1"/>
  <c r="D1107" i="1"/>
  <c r="H1107" i="1"/>
  <c r="L1107" i="1"/>
  <c r="B1107" i="1"/>
  <c r="J1107" i="1"/>
  <c r="A1108" i="1"/>
  <c r="M1107" i="1"/>
  <c r="O1107" i="1"/>
  <c r="C1107" i="1"/>
  <c r="B1087" i="2"/>
  <c r="A1088" i="2"/>
  <c r="D1107" i="3"/>
  <c r="E1107" i="3"/>
  <c r="B1107" i="3"/>
  <c r="C1107" i="3"/>
  <c r="A1108" i="3"/>
  <c r="A1109" i="3" l="1"/>
  <c r="C1108" i="3"/>
  <c r="E1108" i="3"/>
  <c r="D1108" i="3"/>
  <c r="B1108" i="3"/>
  <c r="E1108" i="1"/>
  <c r="N1108" i="1"/>
  <c r="H1108" i="1"/>
  <c r="A1109" i="1"/>
  <c r="I1108" i="1"/>
  <c r="D1108" i="1"/>
  <c r="Q1108" i="1"/>
  <c r="C1108" i="1"/>
  <c r="F1108" i="1"/>
  <c r="G1108" i="1"/>
  <c r="J1108" i="1"/>
  <c r="L1108" i="1"/>
  <c r="M1108" i="1"/>
  <c r="O1108" i="1"/>
  <c r="B1108" i="1"/>
  <c r="P1108" i="1"/>
  <c r="A1089" i="2"/>
  <c r="B1088" i="2"/>
  <c r="B1089" i="2" l="1"/>
  <c r="A1090" i="2"/>
  <c r="E1109" i="1"/>
  <c r="N1109" i="1"/>
  <c r="J1109" i="1"/>
  <c r="L1109" i="1"/>
  <c r="B1109" i="1"/>
  <c r="O1109" i="1"/>
  <c r="C1109" i="1"/>
  <c r="Q1109" i="1"/>
  <c r="G1109" i="1"/>
  <c r="D1109" i="1"/>
  <c r="A1110" i="1"/>
  <c r="F1109" i="1"/>
  <c r="M1109" i="1"/>
  <c r="H1109" i="1"/>
  <c r="I1109" i="1"/>
  <c r="P1109" i="1"/>
  <c r="B1109" i="3"/>
  <c r="C1109" i="3"/>
  <c r="A1110" i="3"/>
  <c r="E1109" i="3"/>
  <c r="D1109" i="3"/>
  <c r="D1110" i="3" l="1"/>
  <c r="E1110" i="3"/>
  <c r="A1111" i="3"/>
  <c r="B1110" i="3"/>
  <c r="C1110" i="3"/>
  <c r="E1110" i="1"/>
  <c r="N1110" i="1"/>
  <c r="C1110" i="1"/>
  <c r="M1110" i="1"/>
  <c r="O1110" i="1"/>
  <c r="D1110" i="1"/>
  <c r="I1110" i="1"/>
  <c r="P1110" i="1"/>
  <c r="Q1110" i="1"/>
  <c r="F1110" i="1"/>
  <c r="J1110" i="1"/>
  <c r="B1110" i="1"/>
  <c r="A1111" i="1"/>
  <c r="G1110" i="1"/>
  <c r="H1110" i="1"/>
  <c r="L1110" i="1"/>
  <c r="A1091" i="2"/>
  <c r="B1090" i="2"/>
  <c r="D1111" i="3" l="1"/>
  <c r="B1111" i="3"/>
  <c r="A1112" i="3"/>
  <c r="C1111" i="3"/>
  <c r="E1111" i="3"/>
  <c r="E1111" i="1"/>
  <c r="N1111" i="1"/>
  <c r="F1111" i="1"/>
  <c r="P1111" i="1"/>
  <c r="Q1111" i="1"/>
  <c r="G1111" i="1"/>
  <c r="D1111" i="1"/>
  <c r="L1111" i="1"/>
  <c r="A1112" i="1"/>
  <c r="M1111" i="1"/>
  <c r="O1111" i="1"/>
  <c r="B1111" i="1"/>
  <c r="C1111" i="1"/>
  <c r="H1111" i="1"/>
  <c r="I1111" i="1"/>
  <c r="J1111" i="1"/>
  <c r="B1091" i="2"/>
  <c r="A1092" i="2"/>
  <c r="E1112" i="1" l="1"/>
  <c r="N1112" i="1"/>
  <c r="H1112" i="1"/>
  <c r="A1113" i="1"/>
  <c r="I1112" i="1"/>
  <c r="B1112" i="1"/>
  <c r="O1112" i="1"/>
  <c r="J1112" i="1"/>
  <c r="L1112" i="1"/>
  <c r="P1112" i="1"/>
  <c r="M1112" i="1"/>
  <c r="F1112" i="1"/>
  <c r="C1112" i="1"/>
  <c r="Q1112" i="1"/>
  <c r="D1112" i="1"/>
  <c r="G1112" i="1"/>
  <c r="B1112" i="3"/>
  <c r="C1112" i="3"/>
  <c r="D1112" i="3"/>
  <c r="E1112" i="3"/>
  <c r="A1113" i="3"/>
  <c r="A1093" i="2"/>
  <c r="B1092" i="2"/>
  <c r="E1113" i="3" l="1"/>
  <c r="A1114" i="3"/>
  <c r="B1113" i="3"/>
  <c r="C1113" i="3"/>
  <c r="D1113" i="3"/>
  <c r="B1093" i="2"/>
  <c r="A1094" i="2"/>
  <c r="E1113" i="1"/>
  <c r="N1113" i="1"/>
  <c r="J1113" i="1"/>
  <c r="L1113" i="1"/>
  <c r="B1113" i="1"/>
  <c r="I1113" i="1"/>
  <c r="G1113" i="1"/>
  <c r="H1113" i="1"/>
  <c r="D1113" i="1"/>
  <c r="M1113" i="1"/>
  <c r="O1113" i="1"/>
  <c r="P1113" i="1"/>
  <c r="C1113" i="1"/>
  <c r="Q1113" i="1"/>
  <c r="A1114" i="1"/>
  <c r="F1113" i="1"/>
  <c r="B1094" i="2" l="1"/>
  <c r="A1095" i="2"/>
  <c r="B1114" i="3"/>
  <c r="E1114" i="3"/>
  <c r="C1114" i="3"/>
  <c r="A1115" i="3"/>
  <c r="D1114" i="3"/>
  <c r="E1114" i="1"/>
  <c r="N1114" i="1"/>
  <c r="C1114" i="1"/>
  <c r="M1114" i="1"/>
  <c r="D1114" i="1"/>
  <c r="O1114" i="1"/>
  <c r="G1114" i="1"/>
  <c r="F1114" i="1"/>
  <c r="J1114" i="1"/>
  <c r="H1114" i="1"/>
  <c r="I1114" i="1"/>
  <c r="Q1114" i="1"/>
  <c r="L1114" i="1"/>
  <c r="P1114" i="1"/>
  <c r="B1114" i="1"/>
  <c r="A1115" i="1"/>
  <c r="E1115" i="1" l="1"/>
  <c r="N1115" i="1"/>
  <c r="F1115" i="1"/>
  <c r="P1115" i="1"/>
  <c r="G1115" i="1"/>
  <c r="Q1115" i="1"/>
  <c r="B1115" i="1"/>
  <c r="O1115" i="1"/>
  <c r="C1115" i="1"/>
  <c r="D1115" i="1"/>
  <c r="I1115" i="1"/>
  <c r="M1115" i="1"/>
  <c r="H1115" i="1"/>
  <c r="J1115" i="1"/>
  <c r="L1115" i="1"/>
  <c r="A1116" i="1"/>
  <c r="C1115" i="3"/>
  <c r="D1115" i="3"/>
  <c r="E1115" i="3"/>
  <c r="B1115" i="3"/>
  <c r="A1116" i="3"/>
  <c r="B1095" i="2"/>
  <c r="A1096" i="2"/>
  <c r="E1116" i="1" l="1"/>
  <c r="N1116" i="1"/>
  <c r="H1116" i="1"/>
  <c r="A1117" i="1"/>
  <c r="I1116" i="1"/>
  <c r="L1116" i="1"/>
  <c r="B1116" i="1"/>
  <c r="P1116" i="1"/>
  <c r="C1116" i="1"/>
  <c r="Q1116" i="1"/>
  <c r="D1116" i="1"/>
  <c r="F1116" i="1"/>
  <c r="G1116" i="1"/>
  <c r="J1116" i="1"/>
  <c r="M1116" i="1"/>
  <c r="O1116" i="1"/>
  <c r="A1097" i="2"/>
  <c r="B1096" i="2"/>
  <c r="A1117" i="3"/>
  <c r="C1116" i="3"/>
  <c r="D1116" i="3"/>
  <c r="E1116" i="3"/>
  <c r="B1116" i="3"/>
  <c r="E1117" i="1" l="1"/>
  <c r="N1117" i="1"/>
  <c r="J1117" i="1"/>
  <c r="B1117" i="1"/>
  <c r="L1117" i="1"/>
  <c r="G1117" i="1"/>
  <c r="O1117" i="1"/>
  <c r="D1117" i="1"/>
  <c r="P1117" i="1"/>
  <c r="A1118" i="1"/>
  <c r="C1117" i="1"/>
  <c r="Q1117" i="1"/>
  <c r="I1117" i="1"/>
  <c r="F1117" i="1"/>
  <c r="H1117" i="1"/>
  <c r="M1117" i="1"/>
  <c r="B1117" i="3"/>
  <c r="C1117" i="3"/>
  <c r="A1118" i="3"/>
  <c r="D1117" i="3"/>
  <c r="E1117" i="3"/>
  <c r="I1097" i="2"/>
  <c r="B1097" i="2"/>
  <c r="J1097" i="2"/>
  <c r="C1097" i="2"/>
  <c r="A1098" i="2"/>
  <c r="F1097" i="2"/>
  <c r="E1097" i="2"/>
  <c r="D1097" i="2"/>
  <c r="G1097" i="2"/>
  <c r="H1097" i="2"/>
  <c r="D1118" i="3" l="1"/>
  <c r="E1118" i="3"/>
  <c r="A1119" i="3"/>
  <c r="C1118" i="3"/>
  <c r="B1118" i="3"/>
  <c r="G1098" i="2"/>
  <c r="H1098" i="2"/>
  <c r="I1098" i="2"/>
  <c r="D1098" i="2"/>
  <c r="B1098" i="2"/>
  <c r="C1098" i="2"/>
  <c r="E1098" i="2"/>
  <c r="A1099" i="2"/>
  <c r="F1098" i="2"/>
  <c r="J1098" i="2"/>
  <c r="E1118" i="1"/>
  <c r="N1118" i="1"/>
  <c r="C1118" i="1"/>
  <c r="M1118" i="1"/>
  <c r="D1118" i="1"/>
  <c r="O1118" i="1"/>
  <c r="B1118" i="1"/>
  <c r="Q1118" i="1"/>
  <c r="J1118" i="1"/>
  <c r="L1118" i="1"/>
  <c r="H1118" i="1"/>
  <c r="P1118" i="1"/>
  <c r="A1119" i="1"/>
  <c r="F1118" i="1"/>
  <c r="G1118" i="1"/>
  <c r="I1118" i="1"/>
  <c r="E1099" i="2" l="1"/>
  <c r="F1099" i="2"/>
  <c r="G1099" i="2"/>
  <c r="B1099" i="2"/>
  <c r="J1099" i="2"/>
  <c r="H1099" i="2"/>
  <c r="I1099" i="2"/>
  <c r="A1100" i="2"/>
  <c r="D1099" i="2"/>
  <c r="C1099" i="2"/>
  <c r="D1119" i="3"/>
  <c r="E1119" i="3"/>
  <c r="A1120" i="3"/>
  <c r="B1119" i="3"/>
  <c r="C1119" i="3"/>
  <c r="E1119" i="1"/>
  <c r="N1119" i="1"/>
  <c r="F1119" i="1"/>
  <c r="P1119" i="1"/>
  <c r="J1119" i="1"/>
  <c r="H1119" i="1"/>
  <c r="M1119" i="1"/>
  <c r="I1119" i="1"/>
  <c r="L1119" i="1"/>
  <c r="A1120" i="1"/>
  <c r="B1119" i="1"/>
  <c r="O1119" i="1"/>
  <c r="C1119" i="1"/>
  <c r="Q1119" i="1"/>
  <c r="D1119" i="1"/>
  <c r="G1119" i="1"/>
  <c r="B1120" i="3" l="1"/>
  <c r="C1120" i="3"/>
  <c r="D1120" i="3"/>
  <c r="E1120" i="3"/>
  <c r="A1121" i="3"/>
  <c r="C1100" i="2"/>
  <c r="A1101" i="2"/>
  <c r="D1100" i="2"/>
  <c r="E1100" i="2"/>
  <c r="H1100" i="2"/>
  <c r="G1100" i="2"/>
  <c r="F1100" i="2"/>
  <c r="I1100" i="2"/>
  <c r="J1100" i="2"/>
  <c r="B1100" i="2"/>
  <c r="E1120" i="1"/>
  <c r="N1120" i="1"/>
  <c r="H1120" i="1"/>
  <c r="A1121" i="1"/>
  <c r="D1120" i="1"/>
  <c r="P1120" i="1"/>
  <c r="C1120" i="1"/>
  <c r="Q1120" i="1"/>
  <c r="F1120" i="1"/>
  <c r="M1120" i="1"/>
  <c r="G1120" i="1"/>
  <c r="I1120" i="1"/>
  <c r="J1120" i="1"/>
  <c r="L1120" i="1"/>
  <c r="B1120" i="1"/>
  <c r="O1120" i="1"/>
  <c r="I1101" i="2" l="1"/>
  <c r="B1101" i="2"/>
  <c r="J1101" i="2"/>
  <c r="C1101" i="2"/>
  <c r="A1102" i="2"/>
  <c r="F1101" i="2"/>
  <c r="D1101" i="2"/>
  <c r="E1101" i="2"/>
  <c r="G1101" i="2"/>
  <c r="H1101" i="2"/>
  <c r="E1121" i="3"/>
  <c r="A1122" i="3"/>
  <c r="B1121" i="3"/>
  <c r="D1121" i="3"/>
  <c r="C1121" i="3"/>
  <c r="E1121" i="1"/>
  <c r="N1121" i="1"/>
  <c r="J1121" i="1"/>
  <c r="I1121" i="1"/>
  <c r="M1121" i="1"/>
  <c r="Q1121" i="1"/>
  <c r="B1121" i="1"/>
  <c r="O1121" i="1"/>
  <c r="D1121" i="1"/>
  <c r="C1121" i="1"/>
  <c r="P1121" i="1"/>
  <c r="F1121" i="1"/>
  <c r="A1122" i="1"/>
  <c r="G1121" i="1"/>
  <c r="H1121" i="1"/>
  <c r="L1121" i="1"/>
  <c r="G1102" i="2" l="1"/>
  <c r="H1102" i="2"/>
  <c r="I1102" i="2"/>
  <c r="D1102" i="2"/>
  <c r="J1102" i="2"/>
  <c r="A1103" i="2"/>
  <c r="C1102" i="2"/>
  <c r="B1102" i="2"/>
  <c r="E1102" i="2"/>
  <c r="F1102" i="2"/>
  <c r="B1122" i="3"/>
  <c r="E1122" i="3"/>
  <c r="A1123" i="3"/>
  <c r="C1122" i="3"/>
  <c r="D1122" i="3"/>
  <c r="E1122" i="1"/>
  <c r="N1122" i="1"/>
  <c r="C1122" i="1"/>
  <c r="M1122" i="1"/>
  <c r="D1122" i="1"/>
  <c r="P1122" i="1"/>
  <c r="H1122" i="1"/>
  <c r="I1122" i="1"/>
  <c r="A1123" i="1"/>
  <c r="J1122" i="1"/>
  <c r="L1122" i="1"/>
  <c r="F1122" i="1"/>
  <c r="O1122" i="1"/>
  <c r="B1122" i="1"/>
  <c r="Q1122" i="1"/>
  <c r="G1122" i="1"/>
  <c r="E1103" i="2" l="1"/>
  <c r="F1103" i="2"/>
  <c r="G1103" i="2"/>
  <c r="B1103" i="2"/>
  <c r="J1103" i="2"/>
  <c r="C1103" i="2"/>
  <c r="I1103" i="2"/>
  <c r="H1103" i="2"/>
  <c r="A1104" i="2"/>
  <c r="D1103" i="2"/>
  <c r="C1123" i="3"/>
  <c r="D1123" i="3"/>
  <c r="E1123" i="3"/>
  <c r="B1123" i="3"/>
  <c r="A1124" i="3"/>
  <c r="E1123" i="1"/>
  <c r="N1123" i="1"/>
  <c r="F1123" i="1"/>
  <c r="P1123" i="1"/>
  <c r="I1123" i="1"/>
  <c r="C1123" i="1"/>
  <c r="Q1123" i="1"/>
  <c r="D1123" i="1"/>
  <c r="A1124" i="1"/>
  <c r="H1123" i="1"/>
  <c r="G1123" i="1"/>
  <c r="J1123" i="1"/>
  <c r="L1123" i="1"/>
  <c r="M1123" i="1"/>
  <c r="O1123" i="1"/>
  <c r="B1123" i="1"/>
  <c r="E1124" i="1" l="1"/>
  <c r="N1124" i="1"/>
  <c r="H1124" i="1"/>
  <c r="A1125" i="1"/>
  <c r="C1124" i="1"/>
  <c r="O1124" i="1"/>
  <c r="L1124" i="1"/>
  <c r="D1124" i="1"/>
  <c r="M1124" i="1"/>
  <c r="I1124" i="1"/>
  <c r="B1124" i="1"/>
  <c r="P1124" i="1"/>
  <c r="Q1124" i="1"/>
  <c r="F1124" i="1"/>
  <c r="G1124" i="1"/>
  <c r="J1124" i="1"/>
  <c r="A1125" i="3"/>
  <c r="C1124" i="3"/>
  <c r="E1124" i="3"/>
  <c r="B1124" i="3"/>
  <c r="D1124" i="3"/>
  <c r="C1104" i="2"/>
  <c r="A1105" i="2"/>
  <c r="D1104" i="2"/>
  <c r="H1104" i="2"/>
  <c r="E1104" i="2"/>
  <c r="F1104" i="2"/>
  <c r="G1104" i="2"/>
  <c r="B1104" i="2"/>
  <c r="I1104" i="2"/>
  <c r="J1104" i="2"/>
  <c r="E1125" i="1" l="1"/>
  <c r="N1125" i="1"/>
  <c r="J1125" i="1"/>
  <c r="H1125" i="1"/>
  <c r="G1125" i="1"/>
  <c r="I1125" i="1"/>
  <c r="M1125" i="1"/>
  <c r="L1125" i="1"/>
  <c r="D1125" i="1"/>
  <c r="B1125" i="1"/>
  <c r="O1125" i="1"/>
  <c r="C1125" i="1"/>
  <c r="P1125" i="1"/>
  <c r="Q1125" i="1"/>
  <c r="F1125" i="1"/>
  <c r="A1126" i="1"/>
  <c r="I1105" i="2"/>
  <c r="B1105" i="2"/>
  <c r="J1105" i="2"/>
  <c r="F1105" i="2"/>
  <c r="G1105" i="2"/>
  <c r="H1105" i="2"/>
  <c r="A1106" i="2"/>
  <c r="C1105" i="2"/>
  <c r="D1105" i="2"/>
  <c r="E1105" i="2"/>
  <c r="B1125" i="3"/>
  <c r="C1125" i="3"/>
  <c r="A1126" i="3"/>
  <c r="D1125" i="3"/>
  <c r="E1125" i="3"/>
  <c r="D1126" i="3" l="1"/>
  <c r="E1126" i="3"/>
  <c r="A1127" i="3"/>
  <c r="B1126" i="3"/>
  <c r="C1126" i="3"/>
  <c r="E1126" i="1"/>
  <c r="N1126" i="1"/>
  <c r="C1126" i="1"/>
  <c r="M1126" i="1"/>
  <c r="B1126" i="1"/>
  <c r="O1126" i="1"/>
  <c r="D1126" i="1"/>
  <c r="Q1126" i="1"/>
  <c r="H1126" i="1"/>
  <c r="F1126" i="1"/>
  <c r="A1127" i="1"/>
  <c r="L1126" i="1"/>
  <c r="G1126" i="1"/>
  <c r="I1126" i="1"/>
  <c r="J1126" i="1"/>
  <c r="P1126" i="1"/>
  <c r="G1106" i="2"/>
  <c r="H1106" i="2"/>
  <c r="D1106" i="2"/>
  <c r="J1106" i="2"/>
  <c r="A1107" i="2"/>
  <c r="E1106" i="2"/>
  <c r="C1106" i="2"/>
  <c r="F1106" i="2"/>
  <c r="I1106" i="2"/>
  <c r="B1106" i="2"/>
  <c r="E1127" i="1" l="1"/>
  <c r="N1127" i="1"/>
  <c r="F1127" i="1"/>
  <c r="P1127" i="1"/>
  <c r="H1127" i="1"/>
  <c r="L1127" i="1"/>
  <c r="M1127" i="1"/>
  <c r="Q1127" i="1"/>
  <c r="B1127" i="1"/>
  <c r="O1127" i="1"/>
  <c r="C1127" i="1"/>
  <c r="D1127" i="1"/>
  <c r="A1128" i="1"/>
  <c r="G1127" i="1"/>
  <c r="I1127" i="1"/>
  <c r="J1127" i="1"/>
  <c r="D1127" i="3"/>
  <c r="B1127" i="3"/>
  <c r="A1128" i="3"/>
  <c r="E1127" i="3"/>
  <c r="C1127" i="3"/>
  <c r="E1107" i="2"/>
  <c r="F1107" i="2"/>
  <c r="B1107" i="2"/>
  <c r="J1107" i="2"/>
  <c r="C1107" i="2"/>
  <c r="H1107" i="2"/>
  <c r="D1107" i="2"/>
  <c r="G1107" i="2"/>
  <c r="I1107" i="2"/>
  <c r="A1108" i="2"/>
  <c r="E1128" i="1" l="1"/>
  <c r="N1128" i="1"/>
  <c r="H1128" i="1"/>
  <c r="A1129" i="1"/>
  <c r="B1128" i="1"/>
  <c r="M1128" i="1"/>
  <c r="G1128" i="1"/>
  <c r="L1128" i="1"/>
  <c r="I1128" i="1"/>
  <c r="J1128" i="1"/>
  <c r="D1128" i="1"/>
  <c r="O1128" i="1"/>
  <c r="C1128" i="1"/>
  <c r="P1128" i="1"/>
  <c r="Q1128" i="1"/>
  <c r="F1128" i="1"/>
  <c r="C1108" i="2"/>
  <c r="A1109" i="2"/>
  <c r="D1108" i="2"/>
  <c r="H1108" i="2"/>
  <c r="B1108" i="2"/>
  <c r="E1108" i="2"/>
  <c r="F1108" i="2"/>
  <c r="J1108" i="2"/>
  <c r="I1108" i="2"/>
  <c r="G1108" i="2"/>
  <c r="B1128" i="3"/>
  <c r="C1128" i="3"/>
  <c r="D1128" i="3"/>
  <c r="A1129" i="3"/>
  <c r="E1128" i="3"/>
  <c r="E1129" i="3" l="1"/>
  <c r="A1130" i="3"/>
  <c r="B1129" i="3"/>
  <c r="C1129" i="3"/>
  <c r="D1129" i="3"/>
  <c r="I1129" i="1"/>
  <c r="A1130" i="1"/>
  <c r="F1129" i="1"/>
  <c r="P1129" i="1"/>
  <c r="C1129" i="1"/>
  <c r="N1129" i="1"/>
  <c r="D1129" i="1"/>
  <c r="O1129" i="1"/>
  <c r="L1129" i="1"/>
  <c r="E1129" i="1"/>
  <c r="Q1129" i="1"/>
  <c r="G1129" i="1"/>
  <c r="H1129" i="1"/>
  <c r="J1129" i="1"/>
  <c r="B1129" i="1"/>
  <c r="M1129" i="1"/>
  <c r="I1109" i="2"/>
  <c r="B1109" i="2"/>
  <c r="J1109" i="2"/>
  <c r="F1109" i="2"/>
  <c r="E1109" i="2"/>
  <c r="G1109" i="2"/>
  <c r="H1109" i="2"/>
  <c r="C1109" i="2"/>
  <c r="D1109" i="2"/>
  <c r="A1110" i="2"/>
  <c r="G1110" i="2" l="1"/>
  <c r="H1110" i="2"/>
  <c r="D1110" i="2"/>
  <c r="I1110" i="2"/>
  <c r="J1110" i="2"/>
  <c r="A1111" i="2"/>
  <c r="C1110" i="2"/>
  <c r="E1110" i="2"/>
  <c r="F1110" i="2"/>
  <c r="B1110" i="2"/>
  <c r="I1130" i="1"/>
  <c r="A1131" i="1"/>
  <c r="H1130" i="1"/>
  <c r="G1130" i="1"/>
  <c r="M1130" i="1"/>
  <c r="J1130" i="1"/>
  <c r="B1130" i="1"/>
  <c r="L1130" i="1"/>
  <c r="C1130" i="1"/>
  <c r="N1130" i="1"/>
  <c r="D1130" i="1"/>
  <c r="O1130" i="1"/>
  <c r="F1130" i="1"/>
  <c r="P1130" i="1"/>
  <c r="Q1130" i="1"/>
  <c r="E1130" i="1"/>
  <c r="B1130" i="3"/>
  <c r="E1130" i="3"/>
  <c r="C1130" i="3"/>
  <c r="D1130" i="3"/>
  <c r="A1131" i="3"/>
  <c r="C1131" i="3" l="1"/>
  <c r="D1131" i="3"/>
  <c r="E1131" i="3"/>
  <c r="B1131" i="3"/>
  <c r="A1132" i="3"/>
  <c r="E1111" i="2"/>
  <c r="F1111" i="2"/>
  <c r="B1111" i="2"/>
  <c r="J1111" i="2"/>
  <c r="A1112" i="2"/>
  <c r="G1111" i="2"/>
  <c r="D1111" i="2"/>
  <c r="H1111" i="2"/>
  <c r="I1111" i="2"/>
  <c r="C1111" i="2"/>
  <c r="I1131" i="1"/>
  <c r="A1132" i="1"/>
  <c r="B1131" i="1"/>
  <c r="L1131" i="1"/>
  <c r="C1131" i="1"/>
  <c r="N1131" i="1"/>
  <c r="D1131" i="1"/>
  <c r="O1131" i="1"/>
  <c r="Q1131" i="1"/>
  <c r="E1131" i="1"/>
  <c r="P1131" i="1"/>
  <c r="F1131" i="1"/>
  <c r="G1131" i="1"/>
  <c r="H1131" i="1"/>
  <c r="J1131" i="1"/>
  <c r="M1131" i="1"/>
  <c r="A1133" i="3" l="1"/>
  <c r="C1132" i="3"/>
  <c r="D1132" i="3"/>
  <c r="E1132" i="3"/>
  <c r="B1132" i="3"/>
  <c r="C1112" i="2"/>
  <c r="A1113" i="2"/>
  <c r="D1112" i="2"/>
  <c r="H1112" i="2"/>
  <c r="B1112" i="2"/>
  <c r="E1112" i="2"/>
  <c r="I1112" i="2"/>
  <c r="G1112" i="2"/>
  <c r="F1112" i="2"/>
  <c r="J1112" i="2"/>
  <c r="I1132" i="1"/>
  <c r="A1133" i="1"/>
  <c r="D1132" i="1"/>
  <c r="N1132" i="1"/>
  <c r="G1132" i="1"/>
  <c r="L1132" i="1"/>
  <c r="H1132" i="1"/>
  <c r="J1132" i="1"/>
  <c r="B1132" i="1"/>
  <c r="M1132" i="1"/>
  <c r="C1132" i="1"/>
  <c r="O1132" i="1"/>
  <c r="Q1132" i="1"/>
  <c r="F1132" i="1"/>
  <c r="E1132" i="1"/>
  <c r="P1132" i="1"/>
  <c r="I1113" i="2" l="1"/>
  <c r="B1113" i="2"/>
  <c r="J1113" i="2"/>
  <c r="F1113" i="2"/>
  <c r="D1113" i="2"/>
  <c r="E1113" i="2"/>
  <c r="G1113" i="2"/>
  <c r="A1114" i="2"/>
  <c r="C1113" i="2"/>
  <c r="H1113" i="2"/>
  <c r="I1133" i="1"/>
  <c r="A1134" i="1"/>
  <c r="F1133" i="1"/>
  <c r="P1133" i="1"/>
  <c r="B1133" i="1"/>
  <c r="M1133" i="1"/>
  <c r="C1133" i="1"/>
  <c r="N1133" i="1"/>
  <c r="Q1133" i="1"/>
  <c r="D1133" i="1"/>
  <c r="O1133" i="1"/>
  <c r="E1133" i="1"/>
  <c r="G1133" i="1"/>
  <c r="H1133" i="1"/>
  <c r="J1133" i="1"/>
  <c r="L1133" i="1"/>
  <c r="B1133" i="3"/>
  <c r="C1133" i="3"/>
  <c r="A1134" i="3"/>
  <c r="D1133" i="3"/>
  <c r="E1133" i="3"/>
  <c r="G1114" i="2" l="1"/>
  <c r="H1114" i="2"/>
  <c r="D1114" i="2"/>
  <c r="F1114" i="2"/>
  <c r="I1114" i="2"/>
  <c r="J1114" i="2"/>
  <c r="B1114" i="2"/>
  <c r="C1114" i="2"/>
  <c r="E1114" i="2"/>
  <c r="A1115" i="2"/>
  <c r="D1134" i="3"/>
  <c r="E1134" i="3"/>
  <c r="A1135" i="3"/>
  <c r="C1134" i="3"/>
  <c r="B1134" i="3"/>
  <c r="I1134" i="1"/>
  <c r="A1135" i="1"/>
  <c r="H1134" i="1"/>
  <c r="F1134" i="1"/>
  <c r="Q1134" i="1"/>
  <c r="L1134" i="1"/>
  <c r="G1134" i="1"/>
  <c r="J1134" i="1"/>
  <c r="B1134" i="1"/>
  <c r="M1134" i="1"/>
  <c r="C1134" i="1"/>
  <c r="N1134" i="1"/>
  <c r="D1134" i="1"/>
  <c r="P1134" i="1"/>
  <c r="E1134" i="1"/>
  <c r="O1134" i="1"/>
  <c r="D1135" i="3" l="1"/>
  <c r="E1135" i="3"/>
  <c r="B1135" i="3"/>
  <c r="C1135" i="3"/>
  <c r="E1115" i="2"/>
  <c r="F1115" i="2"/>
  <c r="B1115" i="2"/>
  <c r="J1115" i="2"/>
  <c r="I1115" i="2"/>
  <c r="A1116" i="2"/>
  <c r="D1115" i="2"/>
  <c r="C1115" i="2"/>
  <c r="G1115" i="2"/>
  <c r="H1115" i="2"/>
  <c r="I1135" i="1"/>
  <c r="B1135" i="1"/>
  <c r="L1135" i="1"/>
  <c r="M1135" i="1"/>
  <c r="C1135" i="1"/>
  <c r="N1135" i="1"/>
  <c r="P1135" i="1"/>
  <c r="D1135" i="1"/>
  <c r="O1135" i="1"/>
  <c r="E1135" i="1"/>
  <c r="F1135" i="1"/>
  <c r="Q1135" i="1"/>
  <c r="G1135" i="1"/>
  <c r="J1135" i="1"/>
  <c r="H1135" i="1"/>
  <c r="C1116" i="2" l="1"/>
  <c r="A1117" i="2"/>
  <c r="D1116" i="2"/>
  <c r="H1116" i="2"/>
  <c r="B1116" i="2"/>
  <c r="G1116" i="2"/>
  <c r="F1116" i="2"/>
  <c r="I1116" i="2"/>
  <c r="J1116" i="2"/>
  <c r="E1116" i="2"/>
  <c r="I1117" i="2" l="1"/>
  <c r="B1117" i="2"/>
  <c r="J1117" i="2"/>
  <c r="F1117" i="2"/>
  <c r="C1117" i="2"/>
  <c r="D1117" i="2"/>
  <c r="E1117" i="2"/>
  <c r="A1118" i="2"/>
  <c r="G1117" i="2"/>
  <c r="H1117" i="2"/>
  <c r="G1118" i="2" l="1"/>
  <c r="H1118" i="2"/>
  <c r="D1118" i="2"/>
  <c r="E1118" i="2"/>
  <c r="F1118" i="2"/>
  <c r="I1118" i="2"/>
  <c r="A1119" i="2"/>
  <c r="C1118" i="2"/>
  <c r="J1118" i="2"/>
  <c r="B1118" i="2"/>
  <c r="E1119" i="2" l="1"/>
  <c r="F1119" i="2"/>
  <c r="B1119" i="2"/>
  <c r="J1119" i="2"/>
  <c r="H1119" i="2"/>
  <c r="I1119" i="2"/>
  <c r="A1120" i="2"/>
  <c r="C1119" i="2"/>
  <c r="D1119" i="2"/>
  <c r="G1119" i="2"/>
  <c r="C1120" i="2" l="1"/>
  <c r="A1121" i="2"/>
  <c r="D1120" i="2"/>
  <c r="H1120" i="2"/>
  <c r="J1120" i="2"/>
  <c r="F1120" i="2"/>
  <c r="B1120" i="2"/>
  <c r="G1120" i="2"/>
  <c r="I1120" i="2"/>
  <c r="E1120" i="2"/>
  <c r="I1121" i="2" l="1"/>
  <c r="B1121" i="2"/>
  <c r="J1121" i="2"/>
  <c r="F1121" i="2"/>
  <c r="C1121" i="2"/>
  <c r="D1121" i="2"/>
  <c r="H1121" i="2"/>
  <c r="G1121" i="2"/>
  <c r="A1122" i="2"/>
  <c r="E1121" i="2"/>
  <c r="G1122" i="2" l="1"/>
  <c r="H1122" i="2"/>
  <c r="D1122" i="2"/>
  <c r="C1122" i="2"/>
  <c r="E1122" i="2"/>
  <c r="F1122" i="2"/>
  <c r="A1123" i="2"/>
  <c r="B1122" i="2"/>
  <c r="J1122" i="2"/>
  <c r="I1122" i="2"/>
  <c r="E1123" i="2" l="1"/>
  <c r="F1123" i="2"/>
  <c r="B1123" i="2"/>
  <c r="J1123" i="2"/>
  <c r="G1123" i="2"/>
  <c r="H1123" i="2"/>
  <c r="I1123" i="2"/>
  <c r="C1123" i="2"/>
  <c r="D1123" i="2"/>
  <c r="A1124" i="2"/>
  <c r="C1124" i="2" l="1"/>
  <c r="A1125" i="2"/>
  <c r="D1124" i="2"/>
  <c r="H1124" i="2"/>
  <c r="I1124" i="2"/>
  <c r="J1124" i="2"/>
  <c r="E1124" i="2"/>
  <c r="B1124" i="2"/>
  <c r="F1124" i="2"/>
  <c r="G1124" i="2"/>
  <c r="I1125" i="2" l="1"/>
  <c r="B1125" i="2"/>
  <c r="J1125" i="2"/>
  <c r="F1125" i="2"/>
  <c r="C1125" i="2"/>
  <c r="G1125" i="2"/>
  <c r="A1126" i="2"/>
  <c r="E1125" i="2"/>
  <c r="D1125" i="2"/>
  <c r="H1125" i="2"/>
  <c r="G1126" i="2" l="1"/>
  <c r="H1126" i="2"/>
  <c r="D1126" i="2"/>
  <c r="B1126" i="2"/>
  <c r="C1126" i="2"/>
  <c r="E1126" i="2"/>
  <c r="J1126" i="2"/>
  <c r="I1126" i="2"/>
  <c r="A1127" i="2"/>
  <c r="F1126" i="2"/>
  <c r="E1127" i="2" l="1"/>
  <c r="F1127" i="2"/>
  <c r="B1127" i="2"/>
  <c r="J1127" i="2"/>
  <c r="D1127" i="2"/>
  <c r="G1127" i="2"/>
  <c r="H1127" i="2"/>
  <c r="C1127" i="2"/>
  <c r="I1127" i="2"/>
  <c r="A1128" i="2"/>
  <c r="C1128" i="2" l="1"/>
  <c r="A1129" i="2"/>
  <c r="D1128" i="2"/>
  <c r="H1128" i="2"/>
  <c r="G1128" i="2"/>
  <c r="I1128" i="2"/>
  <c r="J1128" i="2"/>
  <c r="B1128" i="2"/>
  <c r="E1128" i="2"/>
  <c r="F1128" i="2"/>
  <c r="I1129" i="2" l="1"/>
  <c r="B1129" i="2"/>
  <c r="J1129" i="2"/>
  <c r="F1129" i="2"/>
  <c r="A1130" i="2"/>
  <c r="E1129" i="2"/>
  <c r="D1129" i="2"/>
  <c r="G1129" i="2"/>
  <c r="H1129" i="2"/>
  <c r="C1129" i="2"/>
  <c r="G1130" i="2" l="1"/>
  <c r="H1130" i="2"/>
  <c r="D1130" i="2"/>
  <c r="B1130" i="2"/>
  <c r="C1130" i="2"/>
  <c r="I1130" i="2"/>
  <c r="J1130" i="2"/>
  <c r="A1131" i="2"/>
  <c r="E1130" i="2"/>
  <c r="F1130" i="2"/>
  <c r="E1131" i="2" l="1"/>
  <c r="F1131" i="2"/>
  <c r="B1131" i="2"/>
  <c r="J1131" i="2"/>
  <c r="C1131" i="2"/>
  <c r="D1131" i="2"/>
  <c r="G1131" i="2"/>
  <c r="A1132" i="2"/>
  <c r="I1131" i="2"/>
  <c r="H1131" i="2"/>
  <c r="C1132" i="2" l="1"/>
  <c r="A1133" i="2"/>
  <c r="D1132" i="2"/>
  <c r="H1132" i="2"/>
  <c r="F1132" i="2"/>
  <c r="G1132" i="2"/>
  <c r="I1132" i="2"/>
  <c r="B1132" i="2"/>
  <c r="E1132" i="2"/>
  <c r="J1132" i="2"/>
  <c r="I1133" i="2" l="1"/>
  <c r="B1133" i="2"/>
  <c r="J1133" i="2"/>
  <c r="F1133" i="2"/>
  <c r="H1133" i="2"/>
  <c r="A1134" i="2"/>
  <c r="D1133" i="2"/>
  <c r="E1133" i="2"/>
  <c r="G1133" i="2"/>
  <c r="C1133" i="2"/>
  <c r="G1134" i="2" l="1"/>
  <c r="H1134" i="2"/>
  <c r="D1134" i="2"/>
  <c r="A1135" i="2"/>
  <c r="B1134" i="2"/>
  <c r="F1134" i="2"/>
  <c r="E1134" i="2"/>
  <c r="I1134" i="2"/>
  <c r="J1134" i="2"/>
  <c r="C1134" i="2"/>
  <c r="E1135" i="2" l="1"/>
  <c r="F1135" i="2"/>
  <c r="B1135" i="2"/>
  <c r="J1135" i="2"/>
  <c r="C1135" i="2"/>
  <c r="D1135" i="2"/>
  <c r="I1135" i="2"/>
  <c r="G1135" i="2"/>
  <c r="H1135" i="2"/>
</calcChain>
</file>

<file path=xl/sharedStrings.xml><?xml version="1.0" encoding="utf-8"?>
<sst xmlns="http://schemas.openxmlformats.org/spreadsheetml/2006/main" count="161" uniqueCount="74">
  <si>
    <t>MM$</t>
  </si>
  <si>
    <t>$/MMBTU</t>
  </si>
  <si>
    <t>MONTH</t>
  </si>
  <si>
    <t>UPS REPLACEMENT SUNK DEMAND CHARGE</t>
  </si>
  <si>
    <t>BAY GAS STORAGE DEMAND CHARGE</t>
  </si>
  <si>
    <t>SABAL TRAIL &amp; FSC</t>
  </si>
  <si>
    <t>GULF SOUTH</t>
  </si>
  <si>
    <t>TRANSCO 4A</t>
  </si>
  <si>
    <t>SESH</t>
  </si>
  <si>
    <t>GULFSTREAM</t>
  </si>
  <si>
    <t>FGT</t>
  </si>
  <si>
    <t>UPS REPLACEMENT DISPATCH PRICE</t>
  </si>
  <si>
    <t>HENRY HUB</t>
  </si>
  <si>
    <r>
      <t xml:space="preserve">FSC FIRM     FROM                          </t>
    </r>
    <r>
      <rPr>
        <b/>
        <sz val="12"/>
        <color theme="5" tint="-0.249977111117893"/>
        <rFont val="Arial"/>
        <family val="2"/>
      </rPr>
      <t>SABAL TRAIL</t>
    </r>
  </si>
  <si>
    <t>GULFSTREAM NON-FIRM</t>
  </si>
  <si>
    <t>WEIGHTED AVERAGE GULFSTREAM FIRM</t>
  </si>
  <si>
    <t>FGT NON-FIRM</t>
  </si>
  <si>
    <t>WEIGHTED AVERAGE FGT FIRM</t>
  </si>
  <si>
    <t>WEIGHTED AVERAGE Z3 FGT FIRM</t>
  </si>
  <si>
    <t>ZONE 2 FGT FIRM</t>
  </si>
  <si>
    <t>ZONE 1 FGT FIRM</t>
  </si>
  <si>
    <t>FIRM TRANSPORT AND STORAGE CONTRACTS THROUGH FGT PHASE VIII</t>
  </si>
  <si>
    <t>SUNK DEMAND CHARGE FOR ALL CURRENT</t>
  </si>
  <si>
    <t>HIGH</t>
  </si>
  <si>
    <t>LOW</t>
  </si>
  <si>
    <t>May 04, 2015 - LYSTRA LOUTAN</t>
  </si>
  <si>
    <t>LONG-TERM FORECAST METHODOLOGY - GAS PRICE</t>
  </si>
  <si>
    <t>MMCF/DAY</t>
  </si>
  <si>
    <t>DAYS</t>
  </si>
  <si>
    <t>GULFSTREAM NON-FIRM &amp; NON-FIRM BACKHAUL</t>
  </si>
  <si>
    <t>TOTAL GULFSTREAM FIRM</t>
  </si>
  <si>
    <t>SABAL TRAIL PIPELINE</t>
  </si>
  <si>
    <t>TOTAL FGT FIRM</t>
  </si>
  <si>
    <t>ZONE 3 FGT FIRM</t>
  </si>
  <si>
    <t>FGT FIRM BY ZONE</t>
  </si>
  <si>
    <t>LONG-TERM FORECAST METHODOLOGY - CAPACITY</t>
  </si>
  <si>
    <t>$/BBL.</t>
  </si>
  <si>
    <t>WTI</t>
  </si>
  <si>
    <t>ALL PLANTS DISTILLATE</t>
  </si>
  <si>
    <t>MANATEE / TURKEY POINT RESIDUAL</t>
  </si>
  <si>
    <t>MARTIN RESIDUAL</t>
  </si>
  <si>
    <t>DISTILLATE</t>
  </si>
  <si>
    <t>RESIDUAL</t>
  </si>
  <si>
    <t>LONG-TERM FORECAST METHODOLOGY - OIL PRICE</t>
  </si>
  <si>
    <t>DISPATCH PRICE WITH SO2 &amp; NOx</t>
  </si>
  <si>
    <t>DISPATCH PRICE WITHOUT SO2 &amp; NOx</t>
  </si>
  <si>
    <t>WEIGHTED AVERAGE WITHOUT SO2 &amp; NOx</t>
  </si>
  <si>
    <t>CEDAR BAY</t>
  </si>
  <si>
    <t>ICL</t>
  </si>
  <si>
    <t>ST. JOHNS RIVER POWER PARK</t>
  </si>
  <si>
    <t>PLANT SCHERER UNIT 4</t>
  </si>
  <si>
    <t xml:space="preserve"> </t>
  </si>
  <si>
    <t>WITHOUT NOx</t>
  </si>
  <si>
    <t>WITH NOx</t>
  </si>
  <si>
    <t>Selection</t>
  </si>
  <si>
    <t>Natural Gas</t>
  </si>
  <si>
    <t>WITHOUT SO2 &amp; NOx</t>
  </si>
  <si>
    <t>WITH SO2 &amp; NOx</t>
  </si>
  <si>
    <t>Oil SO2</t>
  </si>
  <si>
    <t>HIGH PRICES</t>
  </si>
  <si>
    <t>MEDIUM PRICES</t>
  </si>
  <si>
    <t>LOW PRICES</t>
  </si>
  <si>
    <t>Coal</t>
  </si>
  <si>
    <t>Heavy &amp; Light Oil</t>
  </si>
  <si>
    <t>Florida Power &amp; Light Company</t>
  </si>
  <si>
    <t>Docket No. 160154-EI</t>
  </si>
  <si>
    <t>Staff's First Set of Interrogatories</t>
  </si>
  <si>
    <t>Interrogatory No. 2</t>
  </si>
  <si>
    <t>Tab 1 of 5</t>
  </si>
  <si>
    <t>Attachment No. 40</t>
  </si>
  <si>
    <t>Tab 4 of 5</t>
  </si>
  <si>
    <t>Tab 5 of 5</t>
  </si>
  <si>
    <t>Tab 3 of 5</t>
  </si>
  <si>
    <t>Tab 2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</si>
</sst>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_)"/>
    <numFmt numFmtId="166" formatCode="&quot;$&quot;#,##0.00"/>
    <numFmt numFmtId="167" formatCode="&quot;$&quot;#,##0.0"/>
    <numFmt numFmtId="168" formatCode="&quot;$&quot;#,##0.0_);[Red]\(&quot;$&quot;#,##0.0\)"/>
    <numFmt numFmtId="169" formatCode="[$-409]mmm\-yy;@"/>
    <numFmt numFmtId="170" formatCode="0.0000"/>
    <numFmt numFmtId="171" formatCode="0.0"/>
    <numFmt numFmtId="172" formatCode="_(* #,##0_);_(* \(#,##0\);_(* &quot;-&quot;??_);_(@_)"/>
  </numFmts>
  <fonts count="20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00B0F0"/>
      <name val="Arial"/>
      <family val="2"/>
    </font>
    <font>
      <b/>
      <u/>
      <sz val="16"/>
      <name val="Arial"/>
      <family val="2"/>
    </font>
    <font>
      <sz val="9"/>
      <name val="Geneva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12"/>
      <name val="Helv"/>
    </font>
    <font>
      <b/>
      <sz val="12"/>
      <name val="Helv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164" fontId="0" fillId="0" borderId="0">
      <alignment horizontal="left" wrapText="1"/>
    </xf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>
      <alignment wrapText="1"/>
    </xf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</cellStyleXfs>
  <cellXfs count="96">
    <xf numFmtId="164" fontId="0" fillId="0" borderId="0" xfId="0">
      <alignment horizontal="left" wrapText="1"/>
    </xf>
    <xf numFmtId="0" fontId="3" fillId="0" borderId="0" xfId="4" applyFont="1"/>
    <xf numFmtId="0" fontId="3" fillId="0" borderId="0" xfId="4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4" applyNumberFormat="1" applyFont="1" applyAlignment="1">
      <alignment horizontal="center"/>
    </xf>
    <xf numFmtId="167" fontId="3" fillId="0" borderId="0" xfId="4" applyNumberFormat="1" applyFont="1" applyAlignment="1">
      <alignment horizontal="center"/>
    </xf>
    <xf numFmtId="167" fontId="3" fillId="0" borderId="0" xfId="4" applyNumberFormat="1" applyFont="1"/>
    <xf numFmtId="166" fontId="3" fillId="0" borderId="0" xfId="4" applyNumberFormat="1" applyFont="1"/>
    <xf numFmtId="166" fontId="3" fillId="2" borderId="0" xfId="4" applyNumberFormat="1" applyFont="1" applyFill="1" applyAlignment="1">
      <alignment horizontal="center"/>
    </xf>
    <xf numFmtId="168" fontId="3" fillId="0" borderId="0" xfId="4" applyNumberFormat="1" applyFont="1" applyAlignment="1">
      <alignment horizontal="center"/>
    </xf>
    <xf numFmtId="165" fontId="3" fillId="0" borderId="0" xfId="0" applyNumberFormat="1" applyFont="1" applyAlignment="1"/>
    <xf numFmtId="167" fontId="5" fillId="0" borderId="0" xfId="4" applyNumberFormat="1" applyFont="1" applyAlignment="1">
      <alignment horizontal="center"/>
    </xf>
    <xf numFmtId="166" fontId="6" fillId="2" borderId="0" xfId="4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7" fontId="5" fillId="3" borderId="0" xfId="4" applyNumberFormat="1" applyFont="1" applyFill="1" applyAlignment="1">
      <alignment horizontal="center"/>
    </xf>
    <xf numFmtId="167" fontId="5" fillId="4" borderId="0" xfId="4" applyNumberFormat="1" applyFont="1" applyFill="1" applyAlignment="1">
      <alignment horizontal="center"/>
    </xf>
    <xf numFmtId="167" fontId="5" fillId="5" borderId="0" xfId="4" applyNumberFormat="1" applyFont="1" applyFill="1" applyAlignment="1">
      <alignment horizontal="center"/>
    </xf>
    <xf numFmtId="0" fontId="3" fillId="0" borderId="0" xfId="4" applyFont="1" applyAlignment="1">
      <alignment horizontal="center" wrapText="1"/>
    </xf>
    <xf numFmtId="0" fontId="6" fillId="6" borderId="0" xfId="4" applyFont="1" applyFill="1" applyAlignment="1">
      <alignment horizontal="center" wrapText="1"/>
    </xf>
    <xf numFmtId="0" fontId="6" fillId="0" borderId="0" xfId="4" applyFont="1" applyAlignment="1">
      <alignment horizontal="center" wrapText="1"/>
    </xf>
    <xf numFmtId="0" fontId="6" fillId="2" borderId="0" xfId="4" applyFont="1" applyFill="1" applyAlignment="1">
      <alignment horizontal="center" wrapText="1"/>
    </xf>
    <xf numFmtId="0" fontId="6" fillId="6" borderId="0" xfId="4" quotePrefix="1" applyFont="1" applyFill="1" applyAlignment="1">
      <alignment horizontal="center" wrapText="1"/>
    </xf>
    <xf numFmtId="0" fontId="6" fillId="0" borderId="0" xfId="4" quotePrefix="1" applyFont="1" applyAlignment="1">
      <alignment horizontal="center" wrapText="1"/>
    </xf>
    <xf numFmtId="0" fontId="6" fillId="0" borderId="0" xfId="4" applyFont="1" applyAlignment="1">
      <alignment horizontal="center"/>
    </xf>
    <xf numFmtId="0" fontId="6" fillId="0" borderId="0" xfId="4" applyFont="1" applyAlignment="1"/>
    <xf numFmtId="10" fontId="8" fillId="7" borderId="0" xfId="4" applyNumberFormat="1" applyFont="1" applyFill="1" applyAlignment="1">
      <alignment horizontal="center"/>
    </xf>
    <xf numFmtId="0" fontId="6" fillId="7" borderId="0" xfId="4" applyFont="1" applyFill="1" applyAlignment="1">
      <alignment horizontal="center"/>
    </xf>
    <xf numFmtId="170" fontId="3" fillId="0" borderId="0" xfId="4" applyNumberFormat="1" applyFont="1"/>
    <xf numFmtId="1" fontId="3" fillId="0" borderId="0" xfId="4" applyNumberFormat="1" applyFont="1"/>
    <xf numFmtId="15" fontId="6" fillId="0" borderId="0" xfId="4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/>
    <xf numFmtId="1" fontId="3" fillId="0" borderId="0" xfId="4" applyNumberFormat="1" applyFont="1" applyAlignment="1">
      <alignment horizontal="center"/>
    </xf>
    <xf numFmtId="1" fontId="2" fillId="0" borderId="0" xfId="4" applyNumberFormat="1" applyFont="1" applyAlignment="1">
      <alignment horizontal="center"/>
    </xf>
    <xf numFmtId="1" fontId="3" fillId="8" borderId="0" xfId="4" applyNumberFormat="1" applyFont="1" applyFill="1" applyAlignment="1">
      <alignment horizontal="center"/>
    </xf>
    <xf numFmtId="3" fontId="3" fillId="0" borderId="0" xfId="4" applyNumberFormat="1" applyFont="1" applyAlignment="1">
      <alignment horizontal="center"/>
    </xf>
    <xf numFmtId="3" fontId="3" fillId="8" borderId="0" xfId="4" applyNumberFormat="1" applyFont="1" applyFill="1" applyAlignment="1">
      <alignment horizontal="center"/>
    </xf>
    <xf numFmtId="171" fontId="6" fillId="9" borderId="0" xfId="4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6" fillId="0" borderId="0" xfId="4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72" fontId="3" fillId="0" borderId="0" xfId="0" applyNumberFormat="1" applyFont="1" applyAlignment="1"/>
    <xf numFmtId="0" fontId="6" fillId="0" borderId="0" xfId="4" applyFont="1" applyFill="1" applyAlignment="1">
      <alignment horizontal="center" wrapText="1"/>
    </xf>
    <xf numFmtId="0" fontId="6" fillId="9" borderId="0" xfId="4" applyFont="1" applyFill="1" applyAlignment="1">
      <alignment horizontal="center" wrapText="1"/>
    </xf>
    <xf numFmtId="0" fontId="6" fillId="2" borderId="0" xfId="4" quotePrefix="1" applyFont="1" applyFill="1" applyAlignment="1">
      <alignment horizontal="center" wrapText="1"/>
    </xf>
    <xf numFmtId="0" fontId="6" fillId="0" borderId="0" xfId="4" quotePrefix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Fill="1" applyAlignment="1"/>
    <xf numFmtId="0" fontId="6" fillId="10" borderId="0" xfId="4" applyFont="1" applyFill="1" applyAlignment="1">
      <alignment horizontal="center"/>
    </xf>
    <xf numFmtId="0" fontId="6" fillId="0" borderId="0" xfId="4" applyFont="1"/>
    <xf numFmtId="0" fontId="2" fillId="0" borderId="0" xfId="4" applyFont="1" applyAlignment="1">
      <alignment horizontal="center" wrapText="1"/>
    </xf>
    <xf numFmtId="0" fontId="6" fillId="0" borderId="0" xfId="4" quotePrefix="1" applyFont="1" applyFill="1" applyAlignment="1">
      <alignment horizontal="center" wrapText="1"/>
    </xf>
    <xf numFmtId="0" fontId="6" fillId="8" borderId="0" xfId="4" applyFont="1" applyFill="1" applyAlignment="1"/>
    <xf numFmtId="15" fontId="6" fillId="0" borderId="0" xfId="4" applyNumberFormat="1" applyFont="1" applyFill="1" applyAlignment="1">
      <alignment horizontal="left"/>
    </xf>
    <xf numFmtId="9" fontId="11" fillId="13" borderId="0" xfId="3" applyFont="1" applyFill="1" applyAlignment="1">
      <alignment horizontal="center"/>
    </xf>
    <xf numFmtId="0" fontId="12" fillId="13" borderId="0" xfId="4" applyFont="1" applyFill="1" applyAlignment="1">
      <alignment horizontal="center"/>
    </xf>
    <xf numFmtId="0" fontId="2" fillId="0" borderId="0" xfId="4" applyFont="1" applyFill="1"/>
    <xf numFmtId="0" fontId="13" fillId="0" borderId="0" xfId="4" applyFont="1" applyFill="1"/>
    <xf numFmtId="0" fontId="14" fillId="0" borderId="0" xfId="4" quotePrefix="1" applyFont="1" applyFill="1" applyAlignment="1">
      <alignment horizontal="left"/>
    </xf>
    <xf numFmtId="166" fontId="3" fillId="0" borderId="0" xfId="0" applyNumberFormat="1" applyFont="1" applyAlignment="1">
      <alignment horizontal="center"/>
    </xf>
    <xf numFmtId="166" fontId="3" fillId="0" borderId="0" xfId="2" applyNumberFormat="1" applyFont="1" applyAlignment="1">
      <alignment horizontal="center"/>
    </xf>
    <xf numFmtId="44" fontId="15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14" borderId="0" xfId="0" quotePrefix="1" applyNumberFormat="1" applyFont="1" applyFill="1" applyAlignment="1">
      <alignment horizontal="center" vertical="center" wrapText="1"/>
    </xf>
    <xf numFmtId="165" fontId="6" fillId="2" borderId="0" xfId="0" quotePrefix="1" applyNumberFormat="1" applyFont="1" applyFill="1" applyAlignment="1">
      <alignment horizontal="center" vertical="center" wrapText="1"/>
    </xf>
    <xf numFmtId="165" fontId="6" fillId="10" borderId="0" xfId="0" quotePrefix="1" applyNumberFormat="1" applyFont="1" applyFill="1" applyAlignment="1">
      <alignment horizontal="center" vertical="center" wrapText="1"/>
    </xf>
    <xf numFmtId="0" fontId="16" fillId="0" borderId="0" xfId="4" applyFont="1"/>
    <xf numFmtId="10" fontId="8" fillId="7" borderId="0" xfId="4" quotePrefix="1" applyNumberFormat="1" applyFont="1" applyFill="1" applyAlignment="1">
      <alignment horizontal="center"/>
    </xf>
    <xf numFmtId="15" fontId="6" fillId="7" borderId="0" xfId="4" applyNumberFormat="1" applyFont="1" applyFill="1" applyAlignment="1">
      <alignment horizontal="left"/>
    </xf>
    <xf numFmtId="15" fontId="6" fillId="0" borderId="0" xfId="4" quotePrefix="1" applyNumberFormat="1" applyFont="1" applyAlignment="1">
      <alignment horizontal="left"/>
    </xf>
    <xf numFmtId="0" fontId="17" fillId="0" borderId="0" xfId="4" applyFont="1"/>
    <xf numFmtId="165" fontId="0" fillId="0" borderId="0" xfId="0" applyNumberFormat="1" applyAlignment="1"/>
    <xf numFmtId="43" fontId="0" fillId="0" borderId="0" xfId="1" applyFont="1" applyAlignment="1"/>
    <xf numFmtId="165" fontId="0" fillId="0" borderId="0" xfId="0" quotePrefix="1" applyNumberFormat="1" applyAlignment="1"/>
    <xf numFmtId="165" fontId="18" fillId="0" borderId="1" xfId="0" quotePrefix="1" applyNumberFormat="1" applyFont="1" applyBorder="1" applyAlignment="1">
      <alignment horizontal="left"/>
    </xf>
    <xf numFmtId="165" fontId="18" fillId="0" borderId="3" xfId="0" quotePrefix="1" applyNumberFormat="1" applyFont="1" applyBorder="1" applyAlignment="1">
      <alignment horizontal="left"/>
    </xf>
    <xf numFmtId="165" fontId="19" fillId="0" borderId="4" xfId="0" applyNumberFormat="1" applyFont="1" applyBorder="1" applyAlignment="1"/>
    <xf numFmtId="165" fontId="18" fillId="0" borderId="1" xfId="0" applyNumberFormat="1" applyFont="1" applyBorder="1" applyAlignment="1"/>
    <xf numFmtId="165" fontId="18" fillId="0" borderId="3" xfId="0" applyNumberFormat="1" applyFont="1" applyBorder="1" applyAlignment="1"/>
    <xf numFmtId="165" fontId="19" fillId="0" borderId="0" xfId="0" applyNumberFormat="1" applyFont="1" applyAlignment="1">
      <alignment horizontal="left"/>
    </xf>
    <xf numFmtId="0" fontId="6" fillId="6" borderId="0" xfId="4" quotePrefix="1" applyFont="1" applyFill="1" applyAlignment="1">
      <alignment horizontal="center"/>
    </xf>
    <xf numFmtId="0" fontId="6" fillId="11" borderId="0" xfId="4" quotePrefix="1" applyFont="1" applyFill="1" applyAlignment="1">
      <alignment horizontal="center"/>
    </xf>
    <xf numFmtId="0" fontId="6" fillId="12" borderId="0" xfId="4" applyFont="1" applyFill="1" applyAlignment="1">
      <alignment horizontal="center"/>
    </xf>
    <xf numFmtId="165" fontId="6" fillId="11" borderId="0" xfId="0" quotePrefix="1" applyNumberFormat="1" applyFont="1" applyFill="1" applyAlignment="1">
      <alignment horizontal="center"/>
    </xf>
    <xf numFmtId="0" fontId="6" fillId="0" borderId="0" xfId="4" applyFont="1" applyAlignment="1">
      <alignment horizontal="center"/>
    </xf>
    <xf numFmtId="0" fontId="6" fillId="9" borderId="0" xfId="4" quotePrefix="1" applyFont="1" applyFill="1" applyAlignment="1">
      <alignment horizontal="center"/>
    </xf>
    <xf numFmtId="0" fontId="6" fillId="9" borderId="0" xfId="4" applyFont="1" applyFill="1" applyAlignment="1">
      <alignment horizontal="center"/>
    </xf>
    <xf numFmtId="0" fontId="6" fillId="11" borderId="0" xfId="4" applyFont="1" applyFill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</cellXfs>
  <cellStyles count="52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Comma" xfId="1" builtinId="3"/>
    <cellStyle name="Comma 2" xfId="25"/>
    <cellStyle name="Comma 3" xfId="26"/>
    <cellStyle name="Comma 3 2" xfId="27"/>
    <cellStyle name="Comma 4" xfId="28"/>
    <cellStyle name="Comma 5" xfId="29"/>
    <cellStyle name="Currency" xfId="2" builtinId="4"/>
    <cellStyle name="Normal" xfId="0" builtinId="0"/>
    <cellStyle name="Normal 10" xfId="30"/>
    <cellStyle name="Normal 10 2" xfId="31"/>
    <cellStyle name="Normal 2" xfId="32"/>
    <cellStyle name="Normal 2 2" xfId="33"/>
    <cellStyle name="Normal 2 2 2" xfId="34"/>
    <cellStyle name="Normal 2 3" xfId="35"/>
    <cellStyle name="Normal 2 3 2" xfId="36"/>
    <cellStyle name="Normal 2 4" xfId="37"/>
    <cellStyle name="Normal 2 4 2" xfId="38"/>
    <cellStyle name="Normal 2 5" xfId="39"/>
    <cellStyle name="Normal 2 6" xfId="40"/>
    <cellStyle name="Normal 2 7" xfId="41"/>
    <cellStyle name="Normal 3" xfId="42"/>
    <cellStyle name="Normal 4" xfId="43"/>
    <cellStyle name="Normal 5" xfId="44"/>
    <cellStyle name="Normal 5 2" xfId="45"/>
    <cellStyle name="Normal 6" xfId="46"/>
    <cellStyle name="Normal 6 2" xfId="47"/>
    <cellStyle name="Normal 7" xfId="48"/>
    <cellStyle name="Normal 7 2" xfId="49"/>
    <cellStyle name="Normal 8" xfId="50"/>
    <cellStyle name="Normal 9" xfId="51"/>
    <cellStyle name="Normal_060415 RAP Fuel Price Forecast Template - Case 1 (Historical Spread)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8" fmlaLink="CONTROL!$C$15" fmlaRange="CONTROL!$B$15:$B$17" sel="2" val="0"/>
</file>

<file path=xl/ctrlProps/ctrlProp2.xml><?xml version="1.0" encoding="utf-8"?>
<formControlPr xmlns="http://schemas.microsoft.com/office/spreadsheetml/2009/9/main" objectType="Drop" dropLines="2" dropStyle="combo" dx="18" fmlaLink="CONTROL!$C$32" fmlaRange="CONTROL!$B$32:$B$33" val="0"/>
</file>

<file path=xl/ctrlProps/ctrlProp3.xml><?xml version="1.0" encoding="utf-8"?>
<formControlPr xmlns="http://schemas.microsoft.com/office/spreadsheetml/2009/9/main" objectType="Drop" dropLines="3" dropStyle="combo" dx="18" fmlaLink="CONTROL!$C$9" fmlaRange="CONTROL!$B$9:$B$11" sel="2" val="0"/>
</file>

<file path=xl/ctrlProps/ctrlProp4.xml><?xml version="1.0" encoding="utf-8"?>
<formControlPr xmlns="http://schemas.microsoft.com/office/spreadsheetml/2009/9/main" objectType="Drop" dropLines="2" dropStyle="combo" dx="18" fmlaLink="CONTROL!$C$28" fmlaRange="CONTROL!$B$28:$B$29" val="0"/>
</file>

<file path=xl/ctrlProps/ctrlProp5.xml><?xml version="1.0" encoding="utf-8"?>
<formControlPr xmlns="http://schemas.microsoft.com/office/spreadsheetml/2009/9/main" objectType="Drop" dropLines="3" dropStyle="combo" dx="18" fmlaLink="CONTROL!$C$22" fmlaRange="CONTROL!$B$22:$B$24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142875</xdr:rowOff>
        </xdr:from>
        <xdr:to>
          <xdr:col>4</xdr:col>
          <xdr:colOff>533400</xdr:colOff>
          <xdr:row>13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11</xdr:row>
          <xdr:rowOff>142875</xdr:rowOff>
        </xdr:from>
        <xdr:to>
          <xdr:col>6</xdr:col>
          <xdr:colOff>257175</xdr:colOff>
          <xdr:row>13</xdr:row>
          <xdr:rowOff>47625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171450</xdr:rowOff>
        </xdr:from>
        <xdr:to>
          <xdr:col>2</xdr:col>
          <xdr:colOff>666750</xdr:colOff>
          <xdr:row>11</xdr:row>
          <xdr:rowOff>104775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171450</xdr:rowOff>
        </xdr:from>
        <xdr:to>
          <xdr:col>4</xdr:col>
          <xdr:colOff>371475</xdr:colOff>
          <xdr:row>11</xdr:row>
          <xdr:rowOff>95250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381000</xdr:colOff>
          <xdr:row>12</xdr:row>
          <xdr:rowOff>142875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hab0ptk\0600911%20-%20SJRPP%20Solid%20Fuel%20Historic%20Prices%20-%20Commodity%20&amp;%20Ra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exu0ocl\040609%20FUEL%20COST%20RECOVERY%20-%20IRP%20SHORT%20&amp;%20LONG-TERM%20FOSSIL%20FUEL%20PRICE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XD0FJ7\AppData\Local\Temp\Temp1_2015.zip\2015\5.%20May\150504%202015%20-%202100%20LONG-TERM%20FORECAST%20FPL%20METHODOLOGY%20-%20To%20Dele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dex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REG\GenTrader%20Data\Weekly%20Long%20Run\040914\Inputs\GTDW_Data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- $ Per Ton - Q"/>
      <sheetName val="Chart 2 - $ Per MMBtu - Q"/>
      <sheetName val="Chart 3 - $ Per Ton - A"/>
      <sheetName val="Chart 4 - $ Per MMBtu - A"/>
      <sheetName val="History Delivered"/>
      <sheetName val="History Mine Mouth"/>
      <sheetName val="HIS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Pub Index"/>
      <sheetName val="_Setup_"/>
      <sheetName val="GAS BASIS"/>
      <sheetName val="FPL LONG TERM GAS &amp; OIL INDEX"/>
      <sheetName val="OIL &amp; GAS SEASONALITY"/>
      <sheetName val="TRANSPORT"/>
      <sheetName val="DEMAND CHARGE"/>
      <sheetName val="CAPACITY"/>
      <sheetName val="GAS AVAILABILITY WORKSHEET"/>
      <sheetName val="NATURAL GAS PRICES WORKSHEET"/>
      <sheetName val="FGT PRIMARY FIRM ZONE 1"/>
      <sheetName val="FGT PRIMARY FIRM ZONE 2"/>
      <sheetName val="FGT PRIMARY FIRM ZONE 3"/>
      <sheetName val="FGT NON-FIRM"/>
      <sheetName val="SESH TO FTS 3"/>
      <sheetName val="TRANSCO 4A  FTS 3"/>
      <sheetName val="GULF SOUTH TO FTS 1&amp;2"/>
      <sheetName val="INCREMENTAL Z3"/>
      <sheetName val="SESH TO GULFSTREAM"/>
      <sheetName val="TRANSCO 4A TO GULFSTREAM"/>
      <sheetName val="GULF SOUTH TO GULFSTREAM"/>
      <sheetName val="GULFSTREAM FIRM "/>
      <sheetName val="GULFSTREAM NON-FIRM"/>
      <sheetName val="FSC DLVD"/>
      <sheetName val="UPS REPLACEMENT"/>
      <sheetName val="Upload"/>
      <sheetName val="DISTILLATE &amp; RESIDUAL FUEL OIL"/>
      <sheetName val="COAL SO2 &amp; NOX Calculations"/>
      <sheetName val="COAL - Monthly"/>
      <sheetName val="COAL &amp; PET COKE FORECAST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S1150"/>
  <sheetViews>
    <sheetView tabSelected="1" zoomScale="70" zoomScaleNormal="70" workbookViewId="0">
      <pane xSplit="1" ySplit="16" topLeftCell="B17" activePane="bottomRight" state="frozen"/>
      <selection activeCell="A7" sqref="A7"/>
      <selection pane="topRight" activeCell="A7" sqref="A7"/>
      <selection pane="bottomLeft" activeCell="A7" sqref="A7"/>
      <selection pane="bottomRight" sqref="A1:A6"/>
    </sheetView>
  </sheetViews>
  <sheetFormatPr defaultColWidth="7.109375" defaultRowHeight="15"/>
  <cols>
    <col min="1" max="1" width="7.5546875" style="2" bestFit="1" customWidth="1"/>
    <col min="2" max="5" width="10" style="1" customWidth="1"/>
    <col min="6" max="6" width="9.33203125" style="2" customWidth="1"/>
    <col min="7" max="7" width="13.33203125" style="1" customWidth="1"/>
    <col min="8" max="8" width="12.6640625" style="2" customWidth="1"/>
    <col min="9" max="9" width="10" style="1" customWidth="1"/>
    <col min="10" max="10" width="9.6640625" style="1" customWidth="1"/>
    <col min="11" max="11" width="13.33203125" style="1" customWidth="1"/>
    <col min="12" max="12" width="7.21875" style="1" bestFit="1" customWidth="1"/>
    <col min="13" max="13" width="13.6640625" style="1" bestFit="1" customWidth="1"/>
    <col min="14" max="14" width="6.109375" style="1" bestFit="1" customWidth="1"/>
    <col min="15" max="15" width="10.21875" style="1" customWidth="1"/>
    <col min="16" max="16" width="9.21875" style="1" customWidth="1"/>
    <col min="17" max="17" width="9.88671875" style="1" customWidth="1"/>
    <col min="18" max="18" width="9.33203125" style="1" customWidth="1"/>
    <col min="19" max="19" width="9.21875" style="1" customWidth="1"/>
    <col min="20" max="20" width="10.21875" style="1" customWidth="1"/>
    <col min="21" max="21" width="11.77734375" style="1" customWidth="1"/>
    <col min="22" max="22" width="7.109375" style="1" customWidth="1"/>
    <col min="23" max="23" width="8.77734375" style="1" customWidth="1"/>
    <col min="24" max="24" width="9.21875" style="1" customWidth="1"/>
    <col min="25" max="25" width="11.77734375" style="1" customWidth="1"/>
    <col min="26" max="26" width="7.109375" style="1" customWidth="1"/>
    <col min="27" max="27" width="9.21875" style="1" customWidth="1"/>
    <col min="28" max="28" width="9.33203125" style="1" customWidth="1"/>
    <col min="29" max="29" width="8.21875" style="1" customWidth="1"/>
    <col min="30" max="30" width="9" style="1" customWidth="1"/>
    <col min="31" max="16384" width="7.109375" style="1"/>
  </cols>
  <sheetData>
    <row r="1" spans="1:19" ht="15.75">
      <c r="A1" s="84" t="s">
        <v>64</v>
      </c>
    </row>
    <row r="2" spans="1:19" ht="15.75">
      <c r="A2" s="84" t="s">
        <v>65</v>
      </c>
    </row>
    <row r="3" spans="1:19" ht="15.75">
      <c r="A3" s="84" t="s">
        <v>66</v>
      </c>
    </row>
    <row r="4" spans="1:19" ht="15.75">
      <c r="A4" s="84" t="s">
        <v>67</v>
      </c>
    </row>
    <row r="5" spans="1:19" ht="15.75">
      <c r="A5" s="84" t="s">
        <v>69</v>
      </c>
    </row>
    <row r="6" spans="1:19" ht="15.75">
      <c r="A6" s="84" t="s">
        <v>68</v>
      </c>
    </row>
    <row r="8" spans="1:19" ht="24.75" customHeight="1">
      <c r="A8" s="31" t="s">
        <v>26</v>
      </c>
    </row>
    <row r="9" spans="1:19" ht="15" customHeight="1">
      <c r="A9" s="30" t="s">
        <v>25</v>
      </c>
    </row>
    <row r="10" spans="1:19" ht="15" customHeight="1">
      <c r="A10" s="1"/>
      <c r="G10" s="29"/>
      <c r="N10" s="28"/>
    </row>
    <row r="11" spans="1:19" ht="15" customHeight="1">
      <c r="C11" s="27" t="s">
        <v>24</v>
      </c>
      <c r="D11" s="26">
        <f>1-0.198</f>
        <v>0.80200000000000005</v>
      </c>
      <c r="E11" s="27" t="s">
        <v>23</v>
      </c>
      <c r="F11" s="26">
        <f>1+0.198</f>
        <v>1.198</v>
      </c>
    </row>
    <row r="12" spans="1:19" ht="15" customHeight="1">
      <c r="A12" s="1"/>
    </row>
    <row r="13" spans="1:19" ht="15" customHeight="1">
      <c r="D13" s="10"/>
      <c r="E13" s="10"/>
      <c r="F13" s="10"/>
      <c r="G13" s="10"/>
      <c r="I13" s="10"/>
      <c r="K13" s="25"/>
      <c r="L13" s="85" t="s">
        <v>22</v>
      </c>
      <c r="M13" s="85"/>
      <c r="N13" s="85"/>
      <c r="O13" s="85"/>
      <c r="P13" s="85"/>
      <c r="Q13" s="85"/>
      <c r="R13" s="85"/>
      <c r="S13" s="85"/>
    </row>
    <row r="14" spans="1:19" ht="15" customHeight="1">
      <c r="B14" s="10"/>
      <c r="C14" s="10"/>
      <c r="D14" s="10"/>
      <c r="E14" s="10"/>
      <c r="F14" s="10"/>
      <c r="G14" s="10"/>
      <c r="I14" s="10"/>
      <c r="K14" s="24"/>
      <c r="L14" s="85" t="s">
        <v>21</v>
      </c>
      <c r="M14" s="85"/>
      <c r="N14" s="85"/>
      <c r="O14" s="85"/>
      <c r="P14" s="85"/>
      <c r="Q14" s="85"/>
      <c r="R14" s="85"/>
      <c r="S14" s="85"/>
    </row>
    <row r="15" spans="1:19" s="18" customFormat="1" ht="112.5" customHeight="1">
      <c r="B15" s="21" t="s">
        <v>20</v>
      </c>
      <c r="C15" s="21" t="s">
        <v>19</v>
      </c>
      <c r="D15" s="21" t="s">
        <v>18</v>
      </c>
      <c r="E15" s="21" t="s">
        <v>17</v>
      </c>
      <c r="F15" s="20" t="s">
        <v>16</v>
      </c>
      <c r="G15" s="21" t="s">
        <v>15</v>
      </c>
      <c r="H15" s="20" t="s">
        <v>14</v>
      </c>
      <c r="I15" s="21" t="s">
        <v>13</v>
      </c>
      <c r="J15" s="20" t="s">
        <v>12</v>
      </c>
      <c r="K15" s="23" t="s">
        <v>11</v>
      </c>
      <c r="L15" s="19" t="s">
        <v>10</v>
      </c>
      <c r="M15" s="19" t="s">
        <v>9</v>
      </c>
      <c r="N15" s="19" t="s">
        <v>8</v>
      </c>
      <c r="O15" s="19" t="s">
        <v>7</v>
      </c>
      <c r="P15" s="19" t="s">
        <v>6</v>
      </c>
      <c r="Q15" s="19" t="s">
        <v>5</v>
      </c>
      <c r="R15" s="19" t="s">
        <v>4</v>
      </c>
      <c r="S15" s="22" t="s">
        <v>3</v>
      </c>
    </row>
    <row r="16" spans="1:19" s="18" customFormat="1" ht="15" customHeight="1">
      <c r="A16" s="20" t="s">
        <v>2</v>
      </c>
      <c r="B16" s="21" t="s">
        <v>1</v>
      </c>
      <c r="C16" s="21" t="s">
        <v>1</v>
      </c>
      <c r="D16" s="21" t="s">
        <v>1</v>
      </c>
      <c r="E16" s="21" t="s">
        <v>1</v>
      </c>
      <c r="F16" s="20" t="s">
        <v>1</v>
      </c>
      <c r="G16" s="21" t="s">
        <v>1</v>
      </c>
      <c r="H16" s="20" t="s">
        <v>1</v>
      </c>
      <c r="I16" s="21" t="s">
        <v>1</v>
      </c>
      <c r="J16" s="20" t="s">
        <v>1</v>
      </c>
      <c r="K16" s="20" t="s">
        <v>1</v>
      </c>
      <c r="L16" s="19" t="s">
        <v>0</v>
      </c>
      <c r="M16" s="19" t="s">
        <v>0</v>
      </c>
      <c r="N16" s="19" t="s">
        <v>0</v>
      </c>
      <c r="O16" s="19" t="s">
        <v>0</v>
      </c>
      <c r="P16" s="19" t="s">
        <v>0</v>
      </c>
      <c r="Q16" s="19" t="s">
        <v>0</v>
      </c>
      <c r="R16" s="19" t="s">
        <v>0</v>
      </c>
      <c r="S16" s="19" t="s">
        <v>0</v>
      </c>
    </row>
    <row r="17" spans="1:19" ht="15" customHeight="1">
      <c r="A17" s="13">
        <v>42005</v>
      </c>
      <c r="B17" s="8">
        <f>3.3366 * CHOOSE(CONTROL!$C$15, $D$11, 100%, $F$11)</f>
        <v>3.3365999999999998</v>
      </c>
      <c r="C17" s="8">
        <f>3.3474 * CHOOSE(CONTROL!$C$15, $D$11, 100%, $F$11)</f>
        <v>3.3473999999999999</v>
      </c>
      <c r="D17" s="8">
        <f>3.3493 * CHOOSE( CONTROL!$C$15, $D$11, 100%, $F$11)</f>
        <v>3.3492999999999999</v>
      </c>
      <c r="E17" s="12">
        <f>3.3475 * CHOOSE( CONTROL!$C$15, $D$11, 100%, $F$11)</f>
        <v>3.3475000000000001</v>
      </c>
      <c r="F17" s="4">
        <f>3.9925 * CHOOSE(CONTROL!$C$15, $D$11, 100%, $F$11)</f>
        <v>3.9925000000000002</v>
      </c>
      <c r="G17" s="8">
        <f>3.2669 * CHOOSE( CONTROL!$C$15, $D$11, 100%, $F$11)</f>
        <v>3.2669000000000001</v>
      </c>
      <c r="H17" s="4">
        <f>4.1376 * CHOOSE(CONTROL!$C$15, $D$11, 100%, $F$11)</f>
        <v>4.1375999999999999</v>
      </c>
      <c r="I17" s="8">
        <f>3.3042 * CHOOSE(CONTROL!$C$15, $D$11, 100%, $F$11)</f>
        <v>3.3041999999999998</v>
      </c>
      <c r="J17" s="4">
        <f>3.189 * CHOOSE(CONTROL!$C$15, $D$11, 100%, $F$11)</f>
        <v>3.1890000000000001</v>
      </c>
      <c r="K17" s="4">
        <f>3.2683 * CHOOSE(CONTROL!$C$15, $D$11, 100%, $F$11)</f>
        <v>3.2683</v>
      </c>
      <c r="L17" s="9">
        <v>28.872</v>
      </c>
      <c r="M17" s="9">
        <v>12.063700000000001</v>
      </c>
      <c r="N17" s="9">
        <v>4.9444999999999997</v>
      </c>
      <c r="O17" s="9">
        <v>0.61570000000000003</v>
      </c>
      <c r="P17" s="9">
        <v>0</v>
      </c>
      <c r="Q17" s="9"/>
      <c r="R17" s="9">
        <f t="shared" ref="R17:R44" si="0">(0.12*2500000)/1000000</f>
        <v>0.3</v>
      </c>
      <c r="S17" s="17">
        <v>1.0592999999999999</v>
      </c>
    </row>
    <row r="18" spans="1:19" ht="15" customHeight="1">
      <c r="A18" s="13">
        <v>42036</v>
      </c>
      <c r="B18" s="8">
        <f>3.0002 * CHOOSE(CONTROL!$C$15, $D$11, 100%, $F$11)</f>
        <v>3.0002</v>
      </c>
      <c r="C18" s="8">
        <f>3.0109 * CHOOSE(CONTROL!$C$15, $D$11, 100%, $F$11)</f>
        <v>3.0108999999999999</v>
      </c>
      <c r="D18" s="8">
        <f>3.0148 * CHOOSE( CONTROL!$C$15, $D$11, 100%, $F$11)</f>
        <v>3.0148000000000001</v>
      </c>
      <c r="E18" s="12">
        <f>3.0122 * CHOOSE( CONTROL!$C$15, $D$11, 100%, $F$11)</f>
        <v>3.0122</v>
      </c>
      <c r="F18" s="4">
        <f>3.6639 * CHOOSE(CONTROL!$C$15, $D$11, 100%, $F$11)</f>
        <v>3.6638999999999999</v>
      </c>
      <c r="G18" s="8">
        <f>2.94 * CHOOSE( CONTROL!$C$15, $D$11, 100%, $F$11)</f>
        <v>2.94</v>
      </c>
      <c r="H18" s="4">
        <f>3.8163 * CHOOSE(CONTROL!$C$15, $D$11, 100%, $F$11)</f>
        <v>3.8163</v>
      </c>
      <c r="I18" s="8">
        <f>2.982 * CHOOSE(CONTROL!$C$15, $D$11, 100%, $F$11)</f>
        <v>2.9820000000000002</v>
      </c>
      <c r="J18" s="4">
        <f>2.866 * CHOOSE(CONTROL!$C$15, $D$11, 100%, $F$11)</f>
        <v>2.8660000000000001</v>
      </c>
      <c r="K18" s="4">
        <f>2.9392 * CHOOSE(CONTROL!$C$15, $D$11, 100%, $F$11)</f>
        <v>2.9392</v>
      </c>
      <c r="L18" s="9">
        <v>26.0779</v>
      </c>
      <c r="M18" s="9">
        <v>10.8962</v>
      </c>
      <c r="N18" s="9">
        <v>4.4660000000000002</v>
      </c>
      <c r="O18" s="9">
        <v>0.55610000000000004</v>
      </c>
      <c r="P18" s="9">
        <v>0</v>
      </c>
      <c r="Q18" s="9"/>
      <c r="R18" s="9">
        <f t="shared" si="0"/>
        <v>0.3</v>
      </c>
      <c r="S18" s="17">
        <v>1.0592999999999999</v>
      </c>
    </row>
    <row r="19" spans="1:19" ht="15" customHeight="1">
      <c r="A19" s="13">
        <v>42064</v>
      </c>
      <c r="B19" s="8">
        <f>3.0293 * CHOOSE(CONTROL!$C$15, $D$11, 100%, $F$11)</f>
        <v>3.0293000000000001</v>
      </c>
      <c r="C19" s="8">
        <f>3.0401 * CHOOSE(CONTROL!$C$15, $D$11, 100%, $F$11)</f>
        <v>3.0400999999999998</v>
      </c>
      <c r="D19" s="8">
        <f>3.0547 * CHOOSE( CONTROL!$C$15, $D$11, 100%, $F$11)</f>
        <v>3.0547</v>
      </c>
      <c r="E19" s="12">
        <f>3.0482 * CHOOSE( CONTROL!$C$15, $D$11, 100%, $F$11)</f>
        <v>3.0482</v>
      </c>
      <c r="F19" s="4">
        <f>3.7035 * CHOOSE(CONTROL!$C$15, $D$11, 100%, $F$11)</f>
        <v>3.7035</v>
      </c>
      <c r="G19" s="8">
        <f>2.9787 * CHOOSE( CONTROL!$C$15, $D$11, 100%, $F$11)</f>
        <v>2.9786999999999999</v>
      </c>
      <c r="H19" s="4">
        <f>3.855 * CHOOSE(CONTROL!$C$15, $D$11, 100%, $F$11)</f>
        <v>3.855</v>
      </c>
      <c r="I19" s="8">
        <f>2.9903 * CHOOSE(CONTROL!$C$15, $D$11, 100%, $F$11)</f>
        <v>2.9903</v>
      </c>
      <c r="J19" s="4">
        <f>2.894 * CHOOSE(CONTROL!$C$15, $D$11, 100%, $F$11)</f>
        <v>2.8940000000000001</v>
      </c>
      <c r="K19" s="4">
        <f>2.974 * CHOOSE(CONTROL!$C$15, $D$11, 100%, $F$11)</f>
        <v>2.9740000000000002</v>
      </c>
      <c r="L19" s="9">
        <v>28.872</v>
      </c>
      <c r="M19" s="9">
        <v>12.063700000000001</v>
      </c>
      <c r="N19" s="9">
        <v>4.9444999999999997</v>
      </c>
      <c r="O19" s="9">
        <v>0.61570000000000003</v>
      </c>
      <c r="P19" s="9">
        <v>0</v>
      </c>
      <c r="Q19" s="9"/>
      <c r="R19" s="9">
        <f t="shared" si="0"/>
        <v>0.3</v>
      </c>
      <c r="S19" s="17">
        <v>1.0592999999999999</v>
      </c>
    </row>
    <row r="20" spans="1:19" ht="15" customHeight="1">
      <c r="A20" s="13">
        <v>42095</v>
      </c>
      <c r="B20" s="8">
        <f>2.7127 * CHOOSE(CONTROL!$C$15, $D$11, 100%, $F$11)</f>
        <v>2.7126999999999999</v>
      </c>
      <c r="C20" s="8">
        <f>2.7234 * CHOOSE(CONTROL!$C$15, $D$11, 100%, $F$11)</f>
        <v>2.7233999999999998</v>
      </c>
      <c r="D20" s="8">
        <f>2.7084 * CHOOSE( CONTROL!$C$15, $D$11, 100%, $F$11)</f>
        <v>2.7084000000000001</v>
      </c>
      <c r="E20" s="12">
        <f>2.7121 * CHOOSE( CONTROL!$C$15, $D$11, 100%, $F$11)</f>
        <v>2.7121</v>
      </c>
      <c r="F20" s="4">
        <f>3.3868 * CHOOSE(CONTROL!$C$15, $D$11, 100%, $F$11)</f>
        <v>3.3868</v>
      </c>
      <c r="G20" s="8">
        <f>2.6337 * CHOOSE( CONTROL!$C$15, $D$11, 100%, $F$11)</f>
        <v>2.6337000000000002</v>
      </c>
      <c r="H20" s="4">
        <f>3.5454 * CHOOSE(CONTROL!$C$15, $D$11, 100%, $F$11)</f>
        <v>3.5453999999999999</v>
      </c>
      <c r="I20" s="8">
        <f>2.6501 * CHOOSE(CONTROL!$C$15, $D$11, 100%, $F$11)</f>
        <v>2.6501000000000001</v>
      </c>
      <c r="J20" s="4">
        <f>2.59 * CHOOSE(CONTROL!$C$15, $D$11, 100%, $F$11)</f>
        <v>2.59</v>
      </c>
      <c r="K20" s="4">
        <f>2.6424 * CHOOSE(CONTROL!$C$15, $D$11, 100%, $F$11)</f>
        <v>2.6423999999999999</v>
      </c>
      <c r="L20" s="9">
        <v>30.092199999999998</v>
      </c>
      <c r="M20" s="9">
        <v>11.6745</v>
      </c>
      <c r="N20" s="9">
        <v>4.7850000000000001</v>
      </c>
      <c r="O20" s="9">
        <v>0.59589999999999999</v>
      </c>
      <c r="P20" s="9">
        <v>2.0339999999999998</v>
      </c>
      <c r="Q20" s="9"/>
      <c r="R20" s="9">
        <f t="shared" si="0"/>
        <v>0.3</v>
      </c>
      <c r="S20" s="17">
        <v>1.0592999999999999</v>
      </c>
    </row>
    <row r="21" spans="1:19" ht="15" customHeight="1">
      <c r="A21" s="13">
        <v>42125</v>
      </c>
      <c r="B21" s="8">
        <f>CHOOSE( CONTROL!$C$32, 2.6388, 2.6365) * CHOOSE(CONTROL!$C$15, $D$11, 100%, $F$11)</f>
        <v>2.6387999999999998</v>
      </c>
      <c r="C21" s="8">
        <f>CHOOSE( CONTROL!$C$32, 2.6494, 2.6471) * CHOOSE(CONTROL!$C$15, $D$11, 100%, $F$11)</f>
        <v>2.6494</v>
      </c>
      <c r="D21" s="8">
        <f>CHOOSE( CONTROL!$C$32, 2.6425, 2.6402) * CHOOSE( CONTROL!$C$15, $D$11, 100%, $F$11)</f>
        <v>2.6425000000000001</v>
      </c>
      <c r="E21" s="12">
        <f>CHOOSE( CONTROL!$C$32, 2.6433, 2.641) * CHOOSE( CONTROL!$C$15, $D$11, 100%, $F$11)</f>
        <v>2.6433</v>
      </c>
      <c r="F21" s="4">
        <f>CHOOSE( CONTROL!$C$32, 3.3209, 3.3186) * CHOOSE(CONTROL!$C$15, $D$11, 100%, $F$11)</f>
        <v>3.3209</v>
      </c>
      <c r="G21" s="8">
        <f>CHOOSE( CONTROL!$C$32, 2.5657, 2.5635) * CHOOSE( CONTROL!$C$15, $D$11, 100%, $F$11)</f>
        <v>2.5657000000000001</v>
      </c>
      <c r="H21" s="4">
        <f>CHOOSE( CONTROL!$C$32, 3.481, 3.4787) * CHOOSE(CONTROL!$C$15, $D$11, 100%, $F$11)</f>
        <v>3.4809999999999999</v>
      </c>
      <c r="I21" s="8">
        <f>CHOOSE( CONTROL!$C$32, 2.5874, 2.5852) * CHOOSE(CONTROL!$C$15, $D$11, 100%, $F$11)</f>
        <v>2.5874000000000001</v>
      </c>
      <c r="J21" s="4">
        <f>CHOOSE( CONTROL!$C$32, 2.5192, 2.517) * CHOOSE(CONTROL!$C$15, $D$11, 100%, $F$11)</f>
        <v>2.5192000000000001</v>
      </c>
      <c r="K21" s="4">
        <f>CHOOSE( CONTROL!$C$32, 2.5725, 2.5702) * CHOOSE(CONTROL!$C$15, $D$11, 100%, $F$11)</f>
        <v>2.5724999999999998</v>
      </c>
      <c r="L21" s="9">
        <v>33.7545</v>
      </c>
      <c r="M21" s="9">
        <v>12.063700000000001</v>
      </c>
      <c r="N21" s="9">
        <v>4.9444999999999997</v>
      </c>
      <c r="O21" s="9">
        <v>0.61570000000000003</v>
      </c>
      <c r="P21" s="9">
        <v>1.4925999999999999</v>
      </c>
      <c r="Q21" s="9"/>
      <c r="R21" s="9">
        <f t="shared" si="0"/>
        <v>0.3</v>
      </c>
      <c r="S21" s="17">
        <v>1.0592999999999999</v>
      </c>
    </row>
    <row r="22" spans="1:19" ht="15" customHeight="1">
      <c r="A22" s="13">
        <v>42156</v>
      </c>
      <c r="B22" s="8">
        <f>CHOOSE( CONTROL!$C$32, 2.9555, 2.9532) * CHOOSE(CONTROL!$C$15, $D$11, 100%, $F$11)</f>
        <v>2.9554999999999998</v>
      </c>
      <c r="C22" s="8">
        <f>CHOOSE( CONTROL!$C$32, 2.966, 2.9637) * CHOOSE(CONTROL!$C$15, $D$11, 100%, $F$11)</f>
        <v>2.9660000000000002</v>
      </c>
      <c r="D22" s="8">
        <f>CHOOSE( CONTROL!$C$32, 2.9662, 2.9639) * CHOOSE( CONTROL!$C$15, $D$11, 100%, $F$11)</f>
        <v>2.9662000000000002</v>
      </c>
      <c r="E22" s="12">
        <f>CHOOSE( CONTROL!$C$32, 2.9646, 2.9623) * CHOOSE( CONTROL!$C$15, $D$11, 100%, $F$11)</f>
        <v>2.9645999999999999</v>
      </c>
      <c r="F22" s="4">
        <f>CHOOSE( CONTROL!$C$32, 3.6532, 3.6509) * CHOOSE(CONTROL!$C$15, $D$11, 100%, $F$11)</f>
        <v>3.6532</v>
      </c>
      <c r="G22" s="8">
        <f>CHOOSE( CONTROL!$C$32, 2.8811, 2.8789) * CHOOSE( CONTROL!$C$15, $D$11, 100%, $F$11)</f>
        <v>2.8811</v>
      </c>
      <c r="H22" s="4">
        <f>CHOOSE( CONTROL!$C$32, 3.8058, 3.8036) * CHOOSE(CONTROL!$C$15, $D$11, 100%, $F$11)</f>
        <v>3.8058000000000001</v>
      </c>
      <c r="I22" s="8">
        <f>CHOOSE( CONTROL!$C$32, 2.9019, 2.8997) * CHOOSE(CONTROL!$C$15, $D$11, 100%, $F$11)</f>
        <v>2.9018999999999999</v>
      </c>
      <c r="J22" s="4">
        <f>CHOOSE( CONTROL!$C$32, 2.8232, 2.821) * CHOOSE(CONTROL!$C$15, $D$11, 100%, $F$11)</f>
        <v>2.8231999999999999</v>
      </c>
      <c r="K22" s="4">
        <f>CHOOSE( CONTROL!$C$32, 2.8759, 2.8737) * CHOOSE(CONTROL!$C$15, $D$11, 100%, $F$11)</f>
        <v>2.8759000000000001</v>
      </c>
      <c r="L22" s="9">
        <v>32.665700000000001</v>
      </c>
      <c r="M22" s="9">
        <v>11.6745</v>
      </c>
      <c r="N22" s="9">
        <v>4.7850000000000001</v>
      </c>
      <c r="O22" s="9">
        <v>0.59589999999999999</v>
      </c>
      <c r="P22" s="9">
        <v>1.4443999999999999</v>
      </c>
      <c r="Q22" s="9"/>
      <c r="R22" s="9">
        <f t="shared" si="0"/>
        <v>0.3</v>
      </c>
      <c r="S22" s="16">
        <v>1.0722</v>
      </c>
    </row>
    <row r="23" spans="1:19" ht="15" customHeight="1">
      <c r="A23" s="13">
        <v>42186</v>
      </c>
      <c r="B23" s="8">
        <f>CHOOSE( CONTROL!$C$32, 3.0148, 3.0125) * CHOOSE(CONTROL!$C$15, $D$11, 100%, $F$11)</f>
        <v>3.0148000000000001</v>
      </c>
      <c r="C23" s="8">
        <f>CHOOSE( CONTROL!$C$32, 3.0254, 3.0231) * CHOOSE(CONTROL!$C$15, $D$11, 100%, $F$11)</f>
        <v>3.0253999999999999</v>
      </c>
      <c r="D23" s="8">
        <f>CHOOSE( CONTROL!$C$32, 3.0163, 3.014) * CHOOSE( CONTROL!$C$15, $D$11, 100%, $F$11)</f>
        <v>3.0163000000000002</v>
      </c>
      <c r="E23" s="12">
        <f>CHOOSE( CONTROL!$C$32, 3.0179, 3.0156) * CHOOSE( CONTROL!$C$15, $D$11, 100%, $F$11)</f>
        <v>3.0179</v>
      </c>
      <c r="F23" s="4">
        <f>CHOOSE( CONTROL!$C$32, 3.7125, 3.7102) * CHOOSE(CONTROL!$C$15, $D$11, 100%, $F$11)</f>
        <v>3.7124999999999999</v>
      </c>
      <c r="G23" s="8">
        <f>CHOOSE( CONTROL!$C$32, 2.9289, 2.9266) * CHOOSE( CONTROL!$C$15, $D$11, 100%, $F$11)</f>
        <v>2.9289000000000001</v>
      </c>
      <c r="H23" s="4">
        <f>CHOOSE( CONTROL!$C$32, 3.8639, 3.8616) * CHOOSE(CONTROL!$C$15, $D$11, 100%, $F$11)</f>
        <v>3.8639000000000001</v>
      </c>
      <c r="I23" s="8">
        <f>CHOOSE( CONTROL!$C$32, 2.9541, 2.9519) * CHOOSE(CONTROL!$C$15, $D$11, 100%, $F$11)</f>
        <v>2.9540999999999999</v>
      </c>
      <c r="J23" s="4">
        <f>CHOOSE( CONTROL!$C$32, 2.8802, 2.878) * CHOOSE(CONTROL!$C$15, $D$11, 100%, $F$11)</f>
        <v>2.8801999999999999</v>
      </c>
      <c r="K23" s="4">
        <f>CHOOSE( CONTROL!$C$32, 2.9298, 2.9276) * CHOOSE(CONTROL!$C$15, $D$11, 100%, $F$11)</f>
        <v>2.9298000000000002</v>
      </c>
      <c r="L23" s="9">
        <v>33.7545</v>
      </c>
      <c r="M23" s="9">
        <v>12.063700000000001</v>
      </c>
      <c r="N23" s="9">
        <v>4.9444999999999997</v>
      </c>
      <c r="O23" s="9">
        <v>0.61570000000000003</v>
      </c>
      <c r="P23" s="9">
        <v>1.4925999999999999</v>
      </c>
      <c r="Q23" s="9"/>
      <c r="R23" s="9">
        <f t="shared" si="0"/>
        <v>0.3</v>
      </c>
      <c r="S23" s="15">
        <v>1.0738000000000001</v>
      </c>
    </row>
    <row r="24" spans="1:19" ht="15" customHeight="1">
      <c r="A24" s="13">
        <v>42217</v>
      </c>
      <c r="B24" s="8">
        <f>CHOOSE( CONTROL!$C$32, 3.0357, 3.0334) * CHOOSE(CONTROL!$C$15, $D$11, 100%, $F$11)</f>
        <v>3.0356999999999998</v>
      </c>
      <c r="C24" s="8">
        <f>CHOOSE( CONTROL!$C$32, 3.0462, 3.0439) * CHOOSE(CONTROL!$C$15, $D$11, 100%, $F$11)</f>
        <v>3.0461999999999998</v>
      </c>
      <c r="D24" s="8">
        <f>CHOOSE( CONTROL!$C$32, 3.0373, 3.035) * CHOOSE( CONTROL!$C$15, $D$11, 100%, $F$11)</f>
        <v>3.0373000000000001</v>
      </c>
      <c r="E24" s="12">
        <f>CHOOSE( CONTROL!$C$32, 3.0388, 3.0365) * CHOOSE( CONTROL!$C$15, $D$11, 100%, $F$11)</f>
        <v>3.0388000000000002</v>
      </c>
      <c r="F24" s="4">
        <f>CHOOSE( CONTROL!$C$32, 3.7334, 3.7311) * CHOOSE(CONTROL!$C$15, $D$11, 100%, $F$11)</f>
        <v>3.7334000000000001</v>
      </c>
      <c r="G24" s="8">
        <f>CHOOSE( CONTROL!$C$32, 2.9494, 2.9472) * CHOOSE( CONTROL!$C$15, $D$11, 100%, $F$11)</f>
        <v>2.9493999999999998</v>
      </c>
      <c r="H24" s="4">
        <f>CHOOSE( CONTROL!$C$32, 3.8842, 3.882) * CHOOSE(CONTROL!$C$15, $D$11, 100%, $F$11)</f>
        <v>3.8841999999999999</v>
      </c>
      <c r="I24" s="8">
        <f>CHOOSE( CONTROL!$C$32, 2.9747, 2.9725) * CHOOSE(CONTROL!$C$15, $D$11, 100%, $F$11)</f>
        <v>2.9746999999999999</v>
      </c>
      <c r="J24" s="4">
        <f>CHOOSE( CONTROL!$C$32, 2.9002, 2.898) * CHOOSE(CONTROL!$C$15, $D$11, 100%, $F$11)</f>
        <v>2.9001999999999999</v>
      </c>
      <c r="K24" s="4">
        <f>CHOOSE( CONTROL!$C$32, 2.9503, 2.948) * CHOOSE(CONTROL!$C$15, $D$11, 100%, $F$11)</f>
        <v>2.9502999999999999</v>
      </c>
      <c r="L24" s="9">
        <v>33.7545</v>
      </c>
      <c r="M24" s="9">
        <v>12.063700000000001</v>
      </c>
      <c r="N24" s="9">
        <v>4.9444999999999997</v>
      </c>
      <c r="O24" s="9">
        <v>0.61570000000000003</v>
      </c>
      <c r="P24" s="9">
        <v>1.4925999999999999</v>
      </c>
      <c r="Q24" s="9"/>
      <c r="R24" s="9">
        <f t="shared" si="0"/>
        <v>0.3</v>
      </c>
      <c r="S24" s="15">
        <v>1.0738000000000001</v>
      </c>
    </row>
    <row r="25" spans="1:19" ht="15" customHeight="1">
      <c r="A25" s="13">
        <v>42248</v>
      </c>
      <c r="B25" s="8">
        <f>CHOOSE( CONTROL!$C$32, 3.043, 3.0407) * CHOOSE(CONTROL!$C$15, $D$11, 100%, $F$11)</f>
        <v>3.0430000000000001</v>
      </c>
      <c r="C25" s="8">
        <f>CHOOSE( CONTROL!$C$32, 3.0535, 3.0512) * CHOOSE(CONTROL!$C$15, $D$11, 100%, $F$11)</f>
        <v>3.0535000000000001</v>
      </c>
      <c r="D25" s="8">
        <f>CHOOSE( CONTROL!$C$32, 3.0446, 3.0423) * CHOOSE( CONTROL!$C$15, $D$11, 100%, $F$11)</f>
        <v>3.0446</v>
      </c>
      <c r="E25" s="12">
        <f>CHOOSE( CONTROL!$C$32, 3.0461, 3.0438) * CHOOSE( CONTROL!$C$15, $D$11, 100%, $F$11)</f>
        <v>3.0461</v>
      </c>
      <c r="F25" s="4">
        <f>CHOOSE( CONTROL!$C$32, 3.7407, 3.7384) * CHOOSE(CONTROL!$C$15, $D$11, 100%, $F$11)</f>
        <v>3.7406999999999999</v>
      </c>
      <c r="G25" s="8">
        <f>CHOOSE( CONTROL!$C$32, 2.9566, 2.9544) * CHOOSE( CONTROL!$C$15, $D$11, 100%, $F$11)</f>
        <v>2.9565999999999999</v>
      </c>
      <c r="H25" s="4">
        <f>CHOOSE( CONTROL!$C$32, 3.8914, 3.8891) * CHOOSE(CONTROL!$C$15, $D$11, 100%, $F$11)</f>
        <v>3.8914</v>
      </c>
      <c r="I25" s="8">
        <f>CHOOSE( CONTROL!$C$32, 2.9819, 2.9797) * CHOOSE(CONTROL!$C$15, $D$11, 100%, $F$11)</f>
        <v>2.9819</v>
      </c>
      <c r="J25" s="4">
        <f>CHOOSE( CONTROL!$C$32, 2.9072, 2.905) * CHOOSE(CONTROL!$C$15, $D$11, 100%, $F$11)</f>
        <v>2.9072</v>
      </c>
      <c r="K25" s="4">
        <f>CHOOSE( CONTROL!$C$32, 2.9574, 2.9552) * CHOOSE(CONTROL!$C$15, $D$11, 100%, $F$11)</f>
        <v>2.9573999999999998</v>
      </c>
      <c r="L25" s="9">
        <v>32.665700000000001</v>
      </c>
      <c r="M25" s="9">
        <v>11.6745</v>
      </c>
      <c r="N25" s="9">
        <v>4.7850000000000001</v>
      </c>
      <c r="O25" s="9">
        <v>0.59589999999999999</v>
      </c>
      <c r="P25" s="9">
        <v>1.4443999999999999</v>
      </c>
      <c r="Q25" s="9"/>
      <c r="R25" s="9">
        <f t="shared" si="0"/>
        <v>0.3</v>
      </c>
      <c r="S25" s="15">
        <v>1.0738000000000001</v>
      </c>
    </row>
    <row r="26" spans="1:19" ht="15" customHeight="1">
      <c r="A26" s="13">
        <v>42278</v>
      </c>
      <c r="B26" s="8">
        <f>3.0772 * CHOOSE(CONTROL!$C$15, $D$11, 100%, $F$11)</f>
        <v>3.0771999999999999</v>
      </c>
      <c r="C26" s="8">
        <f>3.088 * CHOOSE(CONTROL!$C$15, $D$11, 100%, $F$11)</f>
        <v>3.0880000000000001</v>
      </c>
      <c r="D26" s="8">
        <f>3.0734 * CHOOSE( CONTROL!$C$15, $D$11, 100%, $F$11)</f>
        <v>3.0733999999999999</v>
      </c>
      <c r="E26" s="12">
        <f>3.0771 * CHOOSE( CONTROL!$C$15, $D$11, 100%, $F$11)</f>
        <v>3.0771000000000002</v>
      </c>
      <c r="F26" s="4">
        <f>3.7748 * CHOOSE(CONTROL!$C$15, $D$11, 100%, $F$11)</f>
        <v>3.7747999999999999</v>
      </c>
      <c r="G26" s="8">
        <f>2.9899 * CHOOSE( CONTROL!$C$15, $D$11, 100%, $F$11)</f>
        <v>2.9899</v>
      </c>
      <c r="H26" s="4">
        <f>3.9248 * CHOOSE(CONTROL!$C$15, $D$11, 100%, $F$11)</f>
        <v>3.9247999999999998</v>
      </c>
      <c r="I26" s="8">
        <f>3.0157 * CHOOSE(CONTROL!$C$15, $D$11, 100%, $F$11)</f>
        <v>3.0156999999999998</v>
      </c>
      <c r="J26" s="4">
        <f>2.94 * CHOOSE(CONTROL!$C$15, $D$11, 100%, $F$11)</f>
        <v>2.94</v>
      </c>
      <c r="K26" s="4">
        <f>2.991 * CHOOSE(CONTROL!$C$15, $D$11, 100%, $F$11)</f>
        <v>2.9910000000000001</v>
      </c>
      <c r="L26" s="9">
        <v>31.095300000000002</v>
      </c>
      <c r="M26" s="9">
        <v>12.063700000000001</v>
      </c>
      <c r="N26" s="9">
        <v>4.9444999999999997</v>
      </c>
      <c r="O26" s="9">
        <v>0.61570000000000003</v>
      </c>
      <c r="P26" s="9">
        <v>2.1017999999999999</v>
      </c>
      <c r="Q26" s="9"/>
      <c r="R26" s="9">
        <f t="shared" si="0"/>
        <v>0.3</v>
      </c>
      <c r="S26" s="15">
        <v>1.0738000000000001</v>
      </c>
    </row>
    <row r="27" spans="1:19" ht="15" customHeight="1">
      <c r="A27" s="13">
        <v>42309</v>
      </c>
      <c r="B27" s="8">
        <f>3.1772 * CHOOSE(CONTROL!$C$15, $D$11, 100%, $F$11)</f>
        <v>3.1772</v>
      </c>
      <c r="C27" s="8">
        <f>3.188 * CHOOSE(CONTROL!$C$15, $D$11, 100%, $F$11)</f>
        <v>3.1880000000000002</v>
      </c>
      <c r="D27" s="8">
        <f>3.1657 * CHOOSE( CONTROL!$C$15, $D$11, 100%, $F$11)</f>
        <v>3.1657000000000002</v>
      </c>
      <c r="E27" s="12">
        <f>3.1727 * CHOOSE( CONTROL!$C$15, $D$11, 100%, $F$11)</f>
        <v>3.1726999999999999</v>
      </c>
      <c r="F27" s="4">
        <f>3.8383 * CHOOSE(CONTROL!$C$15, $D$11, 100%, $F$11)</f>
        <v>3.8382999999999998</v>
      </c>
      <c r="G27" s="8">
        <f>3.0977 * CHOOSE( CONTROL!$C$15, $D$11, 100%, $F$11)</f>
        <v>3.0977000000000001</v>
      </c>
      <c r="H27" s="4">
        <f>3.9869 * CHOOSE(CONTROL!$C$15, $D$11, 100%, $F$11)</f>
        <v>3.9868999999999999</v>
      </c>
      <c r="I27" s="8">
        <f>3.1493 * CHOOSE(CONTROL!$C$15, $D$11, 100%, $F$11)</f>
        <v>3.1493000000000002</v>
      </c>
      <c r="J27" s="4">
        <f>3.036 * CHOOSE(CONTROL!$C$15, $D$11, 100%, $F$11)</f>
        <v>3.036</v>
      </c>
      <c r="K27" s="4">
        <f>3.1091 * CHOOSE(CONTROL!$C$15, $D$11, 100%, $F$11)</f>
        <v>3.1091000000000002</v>
      </c>
      <c r="L27" s="9">
        <v>28.360600000000002</v>
      </c>
      <c r="M27" s="9">
        <v>11.6745</v>
      </c>
      <c r="N27" s="9">
        <v>4.7850000000000001</v>
      </c>
      <c r="O27" s="9">
        <v>0.59589999999999999</v>
      </c>
      <c r="P27" s="9">
        <v>1.2509999999999999</v>
      </c>
      <c r="Q27" s="9"/>
      <c r="R27" s="9">
        <f t="shared" si="0"/>
        <v>0.3</v>
      </c>
      <c r="S27" s="15">
        <v>1.0738000000000001</v>
      </c>
    </row>
    <row r="28" spans="1:19" ht="15" customHeight="1">
      <c r="A28" s="13">
        <v>42339</v>
      </c>
      <c r="B28" s="8">
        <f>3.3439 * CHOOSE(CONTROL!$C$15, $D$11, 100%, $F$11)</f>
        <v>3.3439000000000001</v>
      </c>
      <c r="C28" s="8">
        <f>3.3546 * CHOOSE(CONTROL!$C$15, $D$11, 100%, $F$11)</f>
        <v>3.3546</v>
      </c>
      <c r="D28" s="8">
        <f>3.3339 * CHOOSE( CONTROL!$C$15, $D$11, 100%, $F$11)</f>
        <v>3.3338999999999999</v>
      </c>
      <c r="E28" s="12">
        <f>3.3403 * CHOOSE( CONTROL!$C$15, $D$11, 100%, $F$11)</f>
        <v>3.3403</v>
      </c>
      <c r="F28" s="4">
        <f>4.005 * CHOOSE(CONTROL!$C$15, $D$11, 100%, $F$11)</f>
        <v>4.0049999999999999</v>
      </c>
      <c r="G28" s="8">
        <f>3.2617 * CHOOSE( CONTROL!$C$15, $D$11, 100%, $F$11)</f>
        <v>3.2616999999999998</v>
      </c>
      <c r="H28" s="4">
        <f>4.1498 * CHOOSE(CONTROL!$C$15, $D$11, 100%, $F$11)</f>
        <v>4.1497999999999999</v>
      </c>
      <c r="I28" s="8">
        <f>3.314 * CHOOSE(CONTROL!$C$15, $D$11, 100%, $F$11)</f>
        <v>3.3140000000000001</v>
      </c>
      <c r="J28" s="4">
        <f>3.196 * CHOOSE(CONTROL!$C$15, $D$11, 100%, $F$11)</f>
        <v>3.1960000000000002</v>
      </c>
      <c r="K28" s="4">
        <f>3.2729 * CHOOSE(CONTROL!$C$15, $D$11, 100%, $F$11)</f>
        <v>3.2728999999999999</v>
      </c>
      <c r="L28" s="9">
        <v>29.306000000000001</v>
      </c>
      <c r="M28" s="9">
        <v>12.063700000000001</v>
      </c>
      <c r="N28" s="9">
        <v>4.9444999999999997</v>
      </c>
      <c r="O28" s="9">
        <v>0.61570000000000003</v>
      </c>
      <c r="P28" s="9">
        <v>1.2927</v>
      </c>
      <c r="Q28" s="9"/>
      <c r="R28" s="9">
        <f t="shared" si="0"/>
        <v>0.3</v>
      </c>
      <c r="S28" s="15">
        <v>1.0738000000000001</v>
      </c>
    </row>
    <row r="29" spans="1:19" ht="15" customHeight="1">
      <c r="A29" s="13">
        <v>42370</v>
      </c>
      <c r="B29" s="8">
        <f>3.4512 * CHOOSE(CONTROL!$C$15, $D$11, 100%, $F$11)</f>
        <v>3.4512</v>
      </c>
      <c r="C29" s="8">
        <f>3.4619 * CHOOSE(CONTROL!$C$15, $D$11, 100%, $F$11)</f>
        <v>3.4619</v>
      </c>
      <c r="D29" s="8">
        <f>3.4422 * CHOOSE( CONTROL!$C$15, $D$11, 100%, $F$11)</f>
        <v>3.4422000000000001</v>
      </c>
      <c r="E29" s="12">
        <f>3.4483 * CHOOSE( CONTROL!$C$15, $D$11, 100%, $F$11)</f>
        <v>3.4483000000000001</v>
      </c>
      <c r="F29" s="4">
        <f>4.1123 * CHOOSE(CONTROL!$C$15, $D$11, 100%, $F$11)</f>
        <v>4.1123000000000003</v>
      </c>
      <c r="G29" s="8">
        <f>3.3673 * CHOOSE( CONTROL!$C$15, $D$11, 100%, $F$11)</f>
        <v>3.3673000000000002</v>
      </c>
      <c r="H29" s="4">
        <f>4.2547 * CHOOSE(CONTROL!$C$15, $D$11, 100%, $F$11)</f>
        <v>4.2546999999999997</v>
      </c>
      <c r="I29" s="8">
        <f>3.42 * CHOOSE(CONTROL!$C$15, $D$11, 100%, $F$11)</f>
        <v>3.42</v>
      </c>
      <c r="J29" s="4">
        <f>3.299 * CHOOSE(CONTROL!$C$15, $D$11, 100%, $F$11)</f>
        <v>3.2989999999999999</v>
      </c>
      <c r="K29" s="4"/>
      <c r="L29" s="9">
        <v>29.306000000000001</v>
      </c>
      <c r="M29" s="9">
        <v>12.063700000000001</v>
      </c>
      <c r="N29" s="9">
        <v>4.9444999999999997</v>
      </c>
      <c r="O29" s="9">
        <v>0.61570000000000003</v>
      </c>
      <c r="P29" s="9">
        <v>1.2927</v>
      </c>
      <c r="Q29" s="9"/>
      <c r="R29" s="9">
        <f t="shared" si="0"/>
        <v>0.3</v>
      </c>
      <c r="S29" s="11"/>
    </row>
    <row r="30" spans="1:19" ht="15" customHeight="1">
      <c r="A30" s="13">
        <v>42401</v>
      </c>
      <c r="B30" s="8">
        <f>3.4335 * CHOOSE(CONTROL!$C$15, $D$11, 100%, $F$11)</f>
        <v>3.4335</v>
      </c>
      <c r="C30" s="8">
        <f>3.4442 * CHOOSE(CONTROL!$C$15, $D$11, 100%, $F$11)</f>
        <v>3.4441999999999999</v>
      </c>
      <c r="D30" s="8">
        <f>3.4243 * CHOOSE( CONTROL!$C$15, $D$11, 100%, $F$11)</f>
        <v>3.4243000000000001</v>
      </c>
      <c r="E30" s="12">
        <f>3.4304 * CHOOSE( CONTROL!$C$15, $D$11, 100%, $F$11)</f>
        <v>3.4304000000000001</v>
      </c>
      <c r="F30" s="4">
        <f>4.0946 * CHOOSE(CONTROL!$C$15, $D$11, 100%, $F$11)</f>
        <v>4.0945999999999998</v>
      </c>
      <c r="G30" s="8">
        <f>3.3499 * CHOOSE( CONTROL!$C$15, $D$11, 100%, $F$11)</f>
        <v>3.3498999999999999</v>
      </c>
      <c r="H30" s="4">
        <f>4.2374 * CHOOSE(CONTROL!$C$15, $D$11, 100%, $F$11)</f>
        <v>4.2374000000000001</v>
      </c>
      <c r="I30" s="8">
        <f>3.4025 * CHOOSE(CONTROL!$C$15, $D$11, 100%, $F$11)</f>
        <v>3.4024999999999999</v>
      </c>
      <c r="J30" s="4">
        <f>3.282 * CHOOSE(CONTROL!$C$15, $D$11, 100%, $F$11)</f>
        <v>3.282</v>
      </c>
      <c r="K30" s="4"/>
      <c r="L30" s="9">
        <v>27.415299999999998</v>
      </c>
      <c r="M30" s="9">
        <v>11.285299999999999</v>
      </c>
      <c r="N30" s="9">
        <v>4.6254999999999997</v>
      </c>
      <c r="O30" s="9">
        <v>0.57599999999999996</v>
      </c>
      <c r="P30" s="9">
        <v>1.2093</v>
      </c>
      <c r="Q30" s="9"/>
      <c r="R30" s="9">
        <f t="shared" si="0"/>
        <v>0.3</v>
      </c>
      <c r="S30" s="11"/>
    </row>
    <row r="31" spans="1:19" ht="15" customHeight="1">
      <c r="A31" s="13">
        <v>42430</v>
      </c>
      <c r="B31" s="8">
        <f>3.3783 * CHOOSE(CONTROL!$C$15, $D$11, 100%, $F$11)</f>
        <v>3.3782999999999999</v>
      </c>
      <c r="C31" s="8">
        <f>3.389 * CHOOSE(CONTROL!$C$15, $D$11, 100%, $F$11)</f>
        <v>3.3889999999999998</v>
      </c>
      <c r="D31" s="8">
        <f>3.3686 * CHOOSE( CONTROL!$C$15, $D$11, 100%, $F$11)</f>
        <v>3.3685999999999998</v>
      </c>
      <c r="E31" s="12">
        <f>3.3749 * CHOOSE( CONTROL!$C$15, $D$11, 100%, $F$11)</f>
        <v>3.3748999999999998</v>
      </c>
      <c r="F31" s="4">
        <f>4.0394 * CHOOSE(CONTROL!$C$15, $D$11, 100%, $F$11)</f>
        <v>4.0393999999999997</v>
      </c>
      <c r="G31" s="8">
        <f>3.2956 * CHOOSE( CONTROL!$C$15, $D$11, 100%, $F$11)</f>
        <v>3.2955999999999999</v>
      </c>
      <c r="H31" s="4">
        <f>4.1834 * CHOOSE(CONTROL!$C$15, $D$11, 100%, $F$11)</f>
        <v>4.1833999999999998</v>
      </c>
      <c r="I31" s="8">
        <f>3.3479 * CHOOSE(CONTROL!$C$15, $D$11, 100%, $F$11)</f>
        <v>3.3479000000000001</v>
      </c>
      <c r="J31" s="4">
        <f>3.229 * CHOOSE(CONTROL!$C$15, $D$11, 100%, $F$11)</f>
        <v>3.2290000000000001</v>
      </c>
      <c r="K31" s="4"/>
      <c r="L31" s="9">
        <v>29.306000000000001</v>
      </c>
      <c r="M31" s="9">
        <v>12.063700000000001</v>
      </c>
      <c r="N31" s="9">
        <v>4.9444999999999997</v>
      </c>
      <c r="O31" s="9">
        <v>0.61570000000000003</v>
      </c>
      <c r="P31" s="9">
        <v>1.2927</v>
      </c>
      <c r="Q31" s="9"/>
      <c r="R31" s="9">
        <f t="shared" si="0"/>
        <v>0.3</v>
      </c>
      <c r="S31" s="11"/>
    </row>
    <row r="32" spans="1:19" ht="15" customHeight="1">
      <c r="A32" s="13">
        <v>42461</v>
      </c>
      <c r="B32" s="8">
        <f>3.2074 * CHOOSE(CONTROL!$C$15, $D$11, 100%, $F$11)</f>
        <v>3.2073999999999998</v>
      </c>
      <c r="C32" s="8">
        <f>3.2182 * CHOOSE(CONTROL!$C$15, $D$11, 100%, $F$11)</f>
        <v>3.2181999999999999</v>
      </c>
      <c r="D32" s="8">
        <f>3.2203 * CHOOSE( CONTROL!$C$15, $D$11, 100%, $F$11)</f>
        <v>3.2202999999999999</v>
      </c>
      <c r="E32" s="12">
        <f>3.2184 * CHOOSE( CONTROL!$C$15, $D$11, 100%, $F$11)</f>
        <v>3.2183999999999999</v>
      </c>
      <c r="F32" s="4">
        <f>3.9362 * CHOOSE(CONTROL!$C$15, $D$11, 100%, $F$11)</f>
        <v>3.9361999999999999</v>
      </c>
      <c r="G32" s="8">
        <f>3.1334 * CHOOSE( CONTROL!$C$15, $D$11, 100%, $F$11)</f>
        <v>3.1334</v>
      </c>
      <c r="H32" s="4">
        <f>4.0826 * CHOOSE(CONTROL!$C$15, $D$11, 100%, $F$11)</f>
        <v>4.0826000000000002</v>
      </c>
      <c r="I32" s="8">
        <f>3.1791 * CHOOSE(CONTROL!$C$15, $D$11, 100%, $F$11)</f>
        <v>3.1791</v>
      </c>
      <c r="J32" s="4">
        <f>3.065 * CHOOSE(CONTROL!$C$15, $D$11, 100%, $F$11)</f>
        <v>3.0649999999999999</v>
      </c>
      <c r="K32" s="4"/>
      <c r="L32" s="9">
        <v>30.092199999999998</v>
      </c>
      <c r="M32" s="9">
        <v>11.6745</v>
      </c>
      <c r="N32" s="9">
        <v>4.7850000000000001</v>
      </c>
      <c r="O32" s="9">
        <v>0.59589999999999999</v>
      </c>
      <c r="P32" s="9">
        <v>2.0339999999999998</v>
      </c>
      <c r="Q32" s="9"/>
      <c r="R32" s="9">
        <f t="shared" si="0"/>
        <v>0.3</v>
      </c>
      <c r="S32" s="11"/>
    </row>
    <row r="33" spans="1:19" ht="15" customHeight="1">
      <c r="A33" s="13">
        <v>42491</v>
      </c>
      <c r="B33" s="8">
        <f>CHOOSE( CONTROL!$C$32, 3.2127, 3.2104) * CHOOSE(CONTROL!$C$15, $D$11, 100%, $F$11)</f>
        <v>3.2126999999999999</v>
      </c>
      <c r="C33" s="8">
        <f>CHOOSE( CONTROL!$C$32, 3.2233, 3.221) * CHOOSE(CONTROL!$C$15, $D$11, 100%, $F$11)</f>
        <v>3.2233000000000001</v>
      </c>
      <c r="D33" s="8">
        <f>CHOOSE( CONTROL!$C$32, 3.2413, 3.239) * CHOOSE( CONTROL!$C$15, $D$11, 100%, $F$11)</f>
        <v>3.2412999999999998</v>
      </c>
      <c r="E33" s="12">
        <f>CHOOSE( CONTROL!$C$32, 3.2338, 3.2315) * CHOOSE( CONTROL!$C$15, $D$11, 100%, $F$11)</f>
        <v>3.2338</v>
      </c>
      <c r="F33" s="4">
        <f>CHOOSE( CONTROL!$C$32, 3.9417, 3.9394) * CHOOSE(CONTROL!$C$15, $D$11, 100%, $F$11)</f>
        <v>3.9417</v>
      </c>
      <c r="G33" s="8">
        <f>CHOOSE( CONTROL!$C$32, 3.1363, 3.1341) * CHOOSE( CONTROL!$C$15, $D$11, 100%, $F$11)</f>
        <v>3.1362999999999999</v>
      </c>
      <c r="H33" s="4">
        <f>CHOOSE( CONTROL!$C$32, 4.0879, 4.0857) * CHOOSE(CONTROL!$C$15, $D$11, 100%, $F$11)</f>
        <v>4.0879000000000003</v>
      </c>
      <c r="I33" s="8">
        <f>CHOOSE( CONTROL!$C$32, 3.1844, 3.1822) * CHOOSE(CONTROL!$C$15, $D$11, 100%, $F$11)</f>
        <v>3.1844000000000001</v>
      </c>
      <c r="J33" s="4">
        <f>CHOOSE( CONTROL!$C$32, 3.0702, 3.068) * CHOOSE(CONTROL!$C$15, $D$11, 100%, $F$11)</f>
        <v>3.0701999999999998</v>
      </c>
      <c r="K33" s="4"/>
      <c r="L33" s="9">
        <v>33.7545</v>
      </c>
      <c r="M33" s="9">
        <v>12.063700000000001</v>
      </c>
      <c r="N33" s="9">
        <v>4.9444999999999997</v>
      </c>
      <c r="O33" s="9">
        <v>0.37409999999999999</v>
      </c>
      <c r="P33" s="9">
        <v>1.4925999999999999</v>
      </c>
      <c r="Q33" s="9"/>
      <c r="R33" s="9">
        <f t="shared" si="0"/>
        <v>0.3</v>
      </c>
      <c r="S33" s="11"/>
    </row>
    <row r="34" spans="1:19" ht="15" customHeight="1">
      <c r="A34" s="13">
        <v>42522</v>
      </c>
      <c r="B34" s="8">
        <f>CHOOSE( CONTROL!$C$32, 3.2398, 3.2375) * CHOOSE(CONTROL!$C$15, $D$11, 100%, $F$11)</f>
        <v>3.2397999999999998</v>
      </c>
      <c r="C34" s="8">
        <f>CHOOSE( CONTROL!$C$32, 3.2504, 3.2481) * CHOOSE(CONTROL!$C$15, $D$11, 100%, $F$11)</f>
        <v>3.2504</v>
      </c>
      <c r="D34" s="8">
        <f>CHOOSE( CONTROL!$C$32, 3.2686, 3.2663) * CHOOSE( CONTROL!$C$15, $D$11, 100%, $F$11)</f>
        <v>3.2686000000000002</v>
      </c>
      <c r="E34" s="12">
        <f>CHOOSE( CONTROL!$C$32, 3.261, 3.2587) * CHOOSE( CONTROL!$C$15, $D$11, 100%, $F$11)</f>
        <v>3.2610000000000001</v>
      </c>
      <c r="F34" s="4">
        <f>CHOOSE( CONTROL!$C$32, 3.9688, 3.9665) * CHOOSE(CONTROL!$C$15, $D$11, 100%, $F$11)</f>
        <v>3.9687999999999999</v>
      </c>
      <c r="G34" s="8">
        <f>CHOOSE( CONTROL!$C$32, 3.163, 3.1608) * CHOOSE( CONTROL!$C$15, $D$11, 100%, $F$11)</f>
        <v>3.1629999999999998</v>
      </c>
      <c r="H34" s="4">
        <f>CHOOSE( CONTROL!$C$32, 4.1144, 4.1121) * CHOOSE(CONTROL!$C$15, $D$11, 100%, $F$11)</f>
        <v>4.1143999999999998</v>
      </c>
      <c r="I34" s="8">
        <f>CHOOSE( CONTROL!$C$32, 3.2112, 3.209) * CHOOSE(CONTROL!$C$15, $D$11, 100%, $F$11)</f>
        <v>3.2111999999999998</v>
      </c>
      <c r="J34" s="4">
        <f>CHOOSE( CONTROL!$C$32, 3.0962, 3.094) * CHOOSE(CONTROL!$C$15, $D$11, 100%, $F$11)</f>
        <v>3.0962000000000001</v>
      </c>
      <c r="K34" s="4"/>
      <c r="L34" s="9">
        <v>32.665700000000001</v>
      </c>
      <c r="M34" s="9">
        <v>11.6745</v>
      </c>
      <c r="N34" s="9">
        <v>4.7850000000000001</v>
      </c>
      <c r="O34" s="9">
        <v>0.36199999999999999</v>
      </c>
      <c r="P34" s="9">
        <v>1.4443999999999999</v>
      </c>
      <c r="Q34" s="9"/>
      <c r="R34" s="9">
        <f t="shared" si="0"/>
        <v>0.3</v>
      </c>
      <c r="S34" s="11"/>
    </row>
    <row r="35" spans="1:19" ht="15" customHeight="1">
      <c r="A35" s="13">
        <v>42552</v>
      </c>
      <c r="B35" s="8">
        <f>CHOOSE( CONTROL!$C$32, 3.2752, 3.2729) * CHOOSE(CONTROL!$C$15, $D$11, 100%, $F$11)</f>
        <v>3.2751999999999999</v>
      </c>
      <c r="C35" s="8">
        <f>CHOOSE( CONTROL!$C$32, 3.2858, 3.2835) * CHOOSE(CONTROL!$C$15, $D$11, 100%, $F$11)</f>
        <v>3.2858000000000001</v>
      </c>
      <c r="D35" s="8">
        <f>CHOOSE( CONTROL!$C$32, 3.3042, 3.3019) * CHOOSE( CONTROL!$C$15, $D$11, 100%, $F$11)</f>
        <v>3.3041999999999998</v>
      </c>
      <c r="E35" s="12">
        <f>CHOOSE( CONTROL!$C$32, 3.2965, 3.2942) * CHOOSE( CONTROL!$C$15, $D$11, 100%, $F$11)</f>
        <v>3.2965</v>
      </c>
      <c r="F35" s="4">
        <f>CHOOSE( CONTROL!$C$32, 4.0042, 4.0019) * CHOOSE(CONTROL!$C$15, $D$11, 100%, $F$11)</f>
        <v>4.0042</v>
      </c>
      <c r="G35" s="8">
        <f>CHOOSE( CONTROL!$C$32, 3.198, 3.1957) * CHOOSE( CONTROL!$C$15, $D$11, 100%, $F$11)</f>
        <v>3.198</v>
      </c>
      <c r="H35" s="4">
        <f>CHOOSE( CONTROL!$C$32, 4.149, 4.1468) * CHOOSE(CONTROL!$C$15, $D$11, 100%, $F$11)</f>
        <v>4.149</v>
      </c>
      <c r="I35" s="8">
        <f>CHOOSE( CONTROL!$C$32, 3.2462, 3.244) * CHOOSE(CONTROL!$C$15, $D$11, 100%, $F$11)</f>
        <v>3.2462</v>
      </c>
      <c r="J35" s="4">
        <f>CHOOSE( CONTROL!$C$32, 3.1302, 3.128) * CHOOSE(CONTROL!$C$15, $D$11, 100%, $F$11)</f>
        <v>3.1301999999999999</v>
      </c>
      <c r="K35" s="4"/>
      <c r="L35" s="9">
        <v>33.7545</v>
      </c>
      <c r="M35" s="9">
        <v>12.063700000000001</v>
      </c>
      <c r="N35" s="9">
        <v>4.9444999999999997</v>
      </c>
      <c r="O35" s="9">
        <v>0.37409999999999999</v>
      </c>
      <c r="P35" s="9">
        <v>1.4925999999999999</v>
      </c>
      <c r="Q35" s="9"/>
      <c r="R35" s="9">
        <f t="shared" si="0"/>
        <v>0.3</v>
      </c>
      <c r="S35" s="11"/>
    </row>
    <row r="36" spans="1:19" ht="15" customHeight="1">
      <c r="A36" s="13">
        <v>42583</v>
      </c>
      <c r="B36" s="8">
        <f>CHOOSE( CONTROL!$C$32, 3.2856, 3.2833) * CHOOSE(CONTROL!$C$15, $D$11, 100%, $F$11)</f>
        <v>3.2856000000000001</v>
      </c>
      <c r="C36" s="8">
        <f>CHOOSE( CONTROL!$C$32, 3.2962, 3.2939) * CHOOSE(CONTROL!$C$15, $D$11, 100%, $F$11)</f>
        <v>3.2961999999999998</v>
      </c>
      <c r="D36" s="8">
        <f>CHOOSE( CONTROL!$C$32, 3.3147, 3.3124) * CHOOSE( CONTROL!$C$15, $D$11, 100%, $F$11)</f>
        <v>3.3147000000000002</v>
      </c>
      <c r="E36" s="12">
        <f>CHOOSE( CONTROL!$C$32, 3.307, 3.3047) * CHOOSE( CONTROL!$C$15, $D$11, 100%, $F$11)</f>
        <v>3.3069999999999999</v>
      </c>
      <c r="F36" s="4">
        <f>CHOOSE( CONTROL!$C$32, 4.0146, 4.0123) * CHOOSE(CONTROL!$C$15, $D$11, 100%, $F$11)</f>
        <v>4.0145999999999997</v>
      </c>
      <c r="G36" s="8">
        <f>CHOOSE( CONTROL!$C$32, 3.2083, 3.206) * CHOOSE( CONTROL!$C$15, $D$11, 100%, $F$11)</f>
        <v>3.2082999999999999</v>
      </c>
      <c r="H36" s="4">
        <f>CHOOSE( CONTROL!$C$32, 4.1592, 4.1569) * CHOOSE(CONTROL!$C$15, $D$11, 100%, $F$11)</f>
        <v>4.1592000000000002</v>
      </c>
      <c r="I36" s="8">
        <f>CHOOSE( CONTROL!$C$32, 3.2565, 3.2543) * CHOOSE(CONTROL!$C$15, $D$11, 100%, $F$11)</f>
        <v>3.2565</v>
      </c>
      <c r="J36" s="4">
        <f>CHOOSE( CONTROL!$C$32, 3.1402, 3.138) * CHOOSE(CONTROL!$C$15, $D$11, 100%, $F$11)</f>
        <v>3.1402000000000001</v>
      </c>
      <c r="K36" s="4"/>
      <c r="L36" s="9">
        <v>33.7545</v>
      </c>
      <c r="M36" s="9">
        <v>12.063700000000001</v>
      </c>
      <c r="N36" s="9">
        <v>4.9444999999999997</v>
      </c>
      <c r="O36" s="9">
        <v>0.37409999999999999</v>
      </c>
      <c r="P36" s="9">
        <v>1.4925999999999999</v>
      </c>
      <c r="Q36" s="9"/>
      <c r="R36" s="9">
        <f t="shared" si="0"/>
        <v>0.3</v>
      </c>
      <c r="S36" s="11"/>
    </row>
    <row r="37" spans="1:19" ht="15" customHeight="1">
      <c r="A37" s="13">
        <v>42614</v>
      </c>
      <c r="B37" s="8">
        <f>CHOOSE( CONTROL!$C$32, 3.2804, 3.2781) * CHOOSE(CONTROL!$C$15, $D$11, 100%, $F$11)</f>
        <v>3.2804000000000002</v>
      </c>
      <c r="C37" s="8">
        <f>CHOOSE( CONTROL!$C$32, 3.291, 3.2887) * CHOOSE(CONTROL!$C$15, $D$11, 100%, $F$11)</f>
        <v>3.2909999999999999</v>
      </c>
      <c r="D37" s="8">
        <f>CHOOSE( CONTROL!$C$32, 3.3095, 3.3072) * CHOOSE( CONTROL!$C$15, $D$11, 100%, $F$11)</f>
        <v>3.3094999999999999</v>
      </c>
      <c r="E37" s="12">
        <f>CHOOSE( CONTROL!$C$32, 3.3018, 3.2995) * CHOOSE( CONTROL!$C$15, $D$11, 100%, $F$11)</f>
        <v>3.3018000000000001</v>
      </c>
      <c r="F37" s="4">
        <f>CHOOSE( CONTROL!$C$32, 4.0094, 4.0071) * CHOOSE(CONTROL!$C$15, $D$11, 100%, $F$11)</f>
        <v>4.0094000000000003</v>
      </c>
      <c r="G37" s="8">
        <f>CHOOSE( CONTROL!$C$32, 3.2031, 3.2009) * CHOOSE( CONTROL!$C$15, $D$11, 100%, $F$11)</f>
        <v>3.2031000000000001</v>
      </c>
      <c r="H37" s="4">
        <f>CHOOSE( CONTROL!$C$32, 4.1541, 4.1518) * CHOOSE(CONTROL!$C$15, $D$11, 100%, $F$11)</f>
        <v>4.1540999999999997</v>
      </c>
      <c r="I37" s="8">
        <f>CHOOSE( CONTROL!$C$32, 3.2513, 3.2491) * CHOOSE(CONTROL!$C$15, $D$11, 100%, $F$11)</f>
        <v>3.2513000000000001</v>
      </c>
      <c r="J37" s="4">
        <f>CHOOSE( CONTROL!$C$32, 3.1352, 3.133) * CHOOSE(CONTROL!$C$15, $D$11, 100%, $F$11)</f>
        <v>3.1352000000000002</v>
      </c>
      <c r="K37" s="4"/>
      <c r="L37" s="9">
        <v>32.665700000000001</v>
      </c>
      <c r="M37" s="9">
        <v>11.6745</v>
      </c>
      <c r="N37" s="9">
        <v>4.7850000000000001</v>
      </c>
      <c r="O37" s="9">
        <v>0.36199999999999999</v>
      </c>
      <c r="P37" s="9">
        <v>1.4443999999999999</v>
      </c>
      <c r="Q37" s="9"/>
      <c r="R37" s="9">
        <f t="shared" si="0"/>
        <v>0.3</v>
      </c>
      <c r="S37" s="11"/>
    </row>
    <row r="38" spans="1:19" ht="15" customHeight="1">
      <c r="A38" s="13">
        <v>42644</v>
      </c>
      <c r="B38" s="8">
        <f>3.3105 * CHOOSE(CONTROL!$C$15, $D$11, 100%, $F$11)</f>
        <v>3.3105000000000002</v>
      </c>
      <c r="C38" s="8">
        <f>3.3213 * CHOOSE(CONTROL!$C$15, $D$11, 100%, $F$11)</f>
        <v>3.3212999999999999</v>
      </c>
      <c r="D38" s="8">
        <f>3.3338 * CHOOSE( CONTROL!$C$15, $D$11, 100%, $F$11)</f>
        <v>3.3338000000000001</v>
      </c>
      <c r="E38" s="12">
        <f>3.3285 * CHOOSE( CONTROL!$C$15, $D$11, 100%, $F$11)</f>
        <v>3.3285</v>
      </c>
      <c r="F38" s="4">
        <f>4.0394 * CHOOSE(CONTROL!$C$15, $D$11, 100%, $F$11)</f>
        <v>4.0393999999999997</v>
      </c>
      <c r="G38" s="8">
        <f>3.2323 * CHOOSE( CONTROL!$C$15, $D$11, 100%, $F$11)</f>
        <v>3.2323</v>
      </c>
      <c r="H38" s="4">
        <f>4.1834 * CHOOSE(CONTROL!$C$15, $D$11, 100%, $F$11)</f>
        <v>4.1833999999999998</v>
      </c>
      <c r="I38" s="8">
        <f>3.281 * CHOOSE(CONTROL!$C$15, $D$11, 100%, $F$11)</f>
        <v>3.2810000000000001</v>
      </c>
      <c r="J38" s="4">
        <f>3.164 * CHOOSE(CONTROL!$C$15, $D$11, 100%, $F$11)</f>
        <v>3.1640000000000001</v>
      </c>
      <c r="K38" s="4"/>
      <c r="L38" s="9">
        <v>31.095300000000002</v>
      </c>
      <c r="M38" s="9">
        <v>12.063700000000001</v>
      </c>
      <c r="N38" s="9">
        <v>4.9444999999999997</v>
      </c>
      <c r="O38" s="9">
        <v>0.37409999999999999</v>
      </c>
      <c r="P38" s="9">
        <v>2.1017999999999999</v>
      </c>
      <c r="Q38" s="9"/>
      <c r="R38" s="9">
        <f t="shared" si="0"/>
        <v>0.3</v>
      </c>
      <c r="S38" s="11"/>
    </row>
    <row r="39" spans="1:19" ht="15" customHeight="1">
      <c r="A39" s="13">
        <v>42675</v>
      </c>
      <c r="B39" s="8">
        <f>3.3887 * CHOOSE(CONTROL!$C$15, $D$11, 100%, $F$11)</f>
        <v>3.3887</v>
      </c>
      <c r="C39" s="8">
        <f>3.3994 * CHOOSE(CONTROL!$C$15, $D$11, 100%, $F$11)</f>
        <v>3.3994</v>
      </c>
      <c r="D39" s="8">
        <f>3.3755 * CHOOSE( CONTROL!$C$15, $D$11, 100%, $F$11)</f>
        <v>3.3755000000000002</v>
      </c>
      <c r="E39" s="12">
        <f>3.3831 * CHOOSE( CONTROL!$C$15, $D$11, 100%, $F$11)</f>
        <v>3.3831000000000002</v>
      </c>
      <c r="F39" s="4">
        <f>4.0498 * CHOOSE(CONTROL!$C$15, $D$11, 100%, $F$11)</f>
        <v>4.0498000000000003</v>
      </c>
      <c r="G39" s="8">
        <f>3.3086 * CHOOSE( CONTROL!$C$15, $D$11, 100%, $F$11)</f>
        <v>3.3086000000000002</v>
      </c>
      <c r="H39" s="4">
        <f>4.1936 * CHOOSE(CONTROL!$C$15, $D$11, 100%, $F$11)</f>
        <v>4.1936</v>
      </c>
      <c r="I39" s="8">
        <f>3.3994 * CHOOSE(CONTROL!$C$15, $D$11, 100%, $F$11)</f>
        <v>3.3994</v>
      </c>
      <c r="J39" s="4">
        <f>3.239 * CHOOSE(CONTROL!$C$15, $D$11, 100%, $F$11)</f>
        <v>3.2389999999999999</v>
      </c>
      <c r="K39" s="4"/>
      <c r="L39" s="9">
        <v>28.360600000000002</v>
      </c>
      <c r="M39" s="9">
        <v>11.6745</v>
      </c>
      <c r="N39" s="9">
        <v>4.7850000000000001</v>
      </c>
      <c r="O39" s="9">
        <v>0.36199999999999999</v>
      </c>
      <c r="P39" s="9">
        <v>1.2509999999999999</v>
      </c>
      <c r="Q39" s="9"/>
      <c r="R39" s="9">
        <f t="shared" si="0"/>
        <v>0.3</v>
      </c>
      <c r="S39" s="11"/>
    </row>
    <row r="40" spans="1:19" ht="15" customHeight="1">
      <c r="A40" s="13">
        <v>42705</v>
      </c>
      <c r="B40" s="8">
        <f>3.5762 * CHOOSE(CONTROL!$C$15, $D$11, 100%, $F$11)</f>
        <v>3.5762</v>
      </c>
      <c r="C40" s="8">
        <f>3.5869 * CHOOSE(CONTROL!$C$15, $D$11, 100%, $F$11)</f>
        <v>3.5869</v>
      </c>
      <c r="D40" s="8">
        <f>3.5646 * CHOOSE( CONTROL!$C$15, $D$11, 100%, $F$11)</f>
        <v>3.5646</v>
      </c>
      <c r="E40" s="12">
        <f>3.5716 * CHOOSE( CONTROL!$C$15, $D$11, 100%, $F$11)</f>
        <v>3.5716000000000001</v>
      </c>
      <c r="F40" s="4">
        <f>4.2373 * CHOOSE(CONTROL!$C$15, $D$11, 100%, $F$11)</f>
        <v>4.2373000000000003</v>
      </c>
      <c r="G40" s="8">
        <f>3.4931 * CHOOSE( CONTROL!$C$15, $D$11, 100%, $F$11)</f>
        <v>3.4931000000000001</v>
      </c>
      <c r="H40" s="4">
        <f>4.3769 * CHOOSE(CONTROL!$C$15, $D$11, 100%, $F$11)</f>
        <v>4.3769</v>
      </c>
      <c r="I40" s="8">
        <f>3.5847 * CHOOSE(CONTROL!$C$15, $D$11, 100%, $F$11)</f>
        <v>3.5847000000000002</v>
      </c>
      <c r="J40" s="4">
        <f>3.419 * CHOOSE(CONTROL!$C$15, $D$11, 100%, $F$11)</f>
        <v>3.419</v>
      </c>
      <c r="K40" s="4"/>
      <c r="L40" s="9">
        <v>29.306000000000001</v>
      </c>
      <c r="M40" s="9">
        <v>12.063700000000001</v>
      </c>
      <c r="N40" s="9">
        <v>4.9444999999999997</v>
      </c>
      <c r="O40" s="9">
        <v>0.37409999999999999</v>
      </c>
      <c r="P40" s="9">
        <v>1.2927</v>
      </c>
      <c r="Q40" s="9"/>
      <c r="R40" s="9">
        <f t="shared" si="0"/>
        <v>0.3</v>
      </c>
      <c r="S40" s="11"/>
    </row>
    <row r="41" spans="1:19" ht="15" customHeight="1">
      <c r="A41" s="13">
        <v>42736</v>
      </c>
      <c r="B41" s="8">
        <f>3.7116 * CHOOSE(CONTROL!$C$15, $D$11, 100%, $F$11)</f>
        <v>3.7115999999999998</v>
      </c>
      <c r="C41" s="8">
        <f>3.7223 * CHOOSE(CONTROL!$C$15, $D$11, 100%, $F$11)</f>
        <v>3.7223000000000002</v>
      </c>
      <c r="D41" s="8">
        <f>3.7039 * CHOOSE( CONTROL!$C$15, $D$11, 100%, $F$11)</f>
        <v>3.7039</v>
      </c>
      <c r="E41" s="12">
        <f>3.7095 * CHOOSE( CONTROL!$C$15, $D$11, 100%, $F$11)</f>
        <v>3.7094999999999998</v>
      </c>
      <c r="F41" s="4">
        <f>4.3727 * CHOOSE(CONTROL!$C$15, $D$11, 100%, $F$11)</f>
        <v>4.3727</v>
      </c>
      <c r="G41" s="8">
        <f>3.6211 * CHOOSE( CONTROL!$C$15, $D$11, 100%, $F$11)</f>
        <v>3.6211000000000002</v>
      </c>
      <c r="H41" s="4">
        <f>4.5093 * CHOOSE(CONTROL!$C$15, $D$11, 100%, $F$11)</f>
        <v>4.5092999999999996</v>
      </c>
      <c r="I41" s="8">
        <f>3.6701 * CHOOSE(CONTROL!$C$15, $D$11, 100%, $F$11)</f>
        <v>3.6701000000000001</v>
      </c>
      <c r="J41" s="4">
        <f>3.549 * CHOOSE(CONTROL!$C$15, $D$11, 100%, $F$11)</f>
        <v>3.5489999999999999</v>
      </c>
      <c r="K41" s="4"/>
      <c r="L41" s="9">
        <v>29.306000000000001</v>
      </c>
      <c r="M41" s="9">
        <v>12.063700000000001</v>
      </c>
      <c r="N41" s="9">
        <v>4.9444999999999997</v>
      </c>
      <c r="O41" s="9">
        <v>0.37409999999999999</v>
      </c>
      <c r="P41" s="9">
        <v>1.2927</v>
      </c>
      <c r="Q41" s="9"/>
      <c r="R41" s="9">
        <f t="shared" si="0"/>
        <v>0.3</v>
      </c>
      <c r="S41" s="11"/>
    </row>
    <row r="42" spans="1:19" ht="15" customHeight="1">
      <c r="A42" s="13">
        <v>42767</v>
      </c>
      <c r="B42" s="8">
        <f>3.6959 * CHOOSE(CONTROL!$C$15, $D$11, 100%, $F$11)</f>
        <v>3.6959</v>
      </c>
      <c r="C42" s="8">
        <f>3.7067 * CHOOSE(CONTROL!$C$15, $D$11, 100%, $F$11)</f>
        <v>3.7067000000000001</v>
      </c>
      <c r="D42" s="8">
        <f>3.6881 * CHOOSE( CONTROL!$C$15, $D$11, 100%, $F$11)</f>
        <v>3.6880999999999999</v>
      </c>
      <c r="E42" s="12">
        <f>3.6938 * CHOOSE( CONTROL!$C$15, $D$11, 100%, $F$11)</f>
        <v>3.6938</v>
      </c>
      <c r="F42" s="4">
        <f>4.357 * CHOOSE(CONTROL!$C$15, $D$11, 100%, $F$11)</f>
        <v>4.3570000000000002</v>
      </c>
      <c r="G42" s="8">
        <f>3.6057 * CHOOSE( CONTROL!$C$15, $D$11, 100%, $F$11)</f>
        <v>3.6057000000000001</v>
      </c>
      <c r="H42" s="4">
        <f>4.494 * CHOOSE(CONTROL!$C$15, $D$11, 100%, $F$11)</f>
        <v>4.4939999999999998</v>
      </c>
      <c r="I42" s="8">
        <f>3.6546 * CHOOSE(CONTROL!$C$15, $D$11, 100%, $F$11)</f>
        <v>3.6545999999999998</v>
      </c>
      <c r="J42" s="4">
        <f>3.534 * CHOOSE(CONTROL!$C$15, $D$11, 100%, $F$11)</f>
        <v>3.5339999999999998</v>
      </c>
      <c r="K42" s="4"/>
      <c r="L42" s="9">
        <v>26.469899999999999</v>
      </c>
      <c r="M42" s="9">
        <v>10.8962</v>
      </c>
      <c r="N42" s="9">
        <v>4.4660000000000002</v>
      </c>
      <c r="O42" s="9">
        <v>0.33789999999999998</v>
      </c>
      <c r="P42" s="9">
        <v>1.1676</v>
      </c>
      <c r="Q42" s="9"/>
      <c r="R42" s="9">
        <f t="shared" si="0"/>
        <v>0.3</v>
      </c>
      <c r="S42" s="11"/>
    </row>
    <row r="43" spans="1:19" ht="15" customHeight="1">
      <c r="A43" s="13">
        <v>42795</v>
      </c>
      <c r="B43" s="8">
        <f>3.6345 * CHOOSE(CONTROL!$C$15, $D$11, 100%, $F$11)</f>
        <v>3.6345000000000001</v>
      </c>
      <c r="C43" s="8">
        <f>3.6452 * CHOOSE(CONTROL!$C$15, $D$11, 100%, $F$11)</f>
        <v>3.6452</v>
      </c>
      <c r="D43" s="8">
        <f>3.6262 * CHOOSE( CONTROL!$C$15, $D$11, 100%, $F$11)</f>
        <v>3.6261999999999999</v>
      </c>
      <c r="E43" s="12">
        <f>3.632 * CHOOSE( CONTROL!$C$15, $D$11, 100%, $F$11)</f>
        <v>3.6320000000000001</v>
      </c>
      <c r="F43" s="4">
        <f>4.2956 * CHOOSE(CONTROL!$C$15, $D$11, 100%, $F$11)</f>
        <v>4.2956000000000003</v>
      </c>
      <c r="G43" s="8">
        <f>3.5453 * CHOOSE( CONTROL!$C$15, $D$11, 100%, $F$11)</f>
        <v>3.5453000000000001</v>
      </c>
      <c r="H43" s="4">
        <f>4.4339 * CHOOSE(CONTROL!$C$15, $D$11, 100%, $F$11)</f>
        <v>4.4339000000000004</v>
      </c>
      <c r="I43" s="8">
        <f>3.5941 * CHOOSE(CONTROL!$C$15, $D$11, 100%, $F$11)</f>
        <v>3.5941000000000001</v>
      </c>
      <c r="J43" s="4">
        <f>3.475 * CHOOSE(CONTROL!$C$15, $D$11, 100%, $F$11)</f>
        <v>3.4750000000000001</v>
      </c>
      <c r="K43" s="4"/>
      <c r="L43" s="9">
        <v>29.306000000000001</v>
      </c>
      <c r="M43" s="9">
        <v>12.063700000000001</v>
      </c>
      <c r="N43" s="9">
        <v>4.9444999999999997</v>
      </c>
      <c r="O43" s="9">
        <v>0.37409999999999999</v>
      </c>
      <c r="P43" s="9">
        <v>1.2927</v>
      </c>
      <c r="Q43" s="9"/>
      <c r="R43" s="9">
        <f t="shared" si="0"/>
        <v>0.3</v>
      </c>
      <c r="S43" s="11"/>
    </row>
    <row r="44" spans="1:19" ht="15" customHeight="1">
      <c r="A44" s="13">
        <v>42826</v>
      </c>
      <c r="B44" s="8">
        <f>3.3636 * CHOOSE(CONTROL!$C$15, $D$11, 100%, $F$11)</f>
        <v>3.3635999999999999</v>
      </c>
      <c r="C44" s="8">
        <f>3.3744 * CHOOSE(CONTROL!$C$15, $D$11, 100%, $F$11)</f>
        <v>3.3744000000000001</v>
      </c>
      <c r="D44" s="8">
        <f>3.386 * CHOOSE( CONTROL!$C$15, $D$11, 100%, $F$11)</f>
        <v>3.3860000000000001</v>
      </c>
      <c r="E44" s="12">
        <f>3.3809 * CHOOSE( CONTROL!$C$15, $D$11, 100%, $F$11)</f>
        <v>3.3809</v>
      </c>
      <c r="F44" s="4">
        <f>4.0925 * CHOOSE(CONTROL!$C$15, $D$11, 100%, $F$11)</f>
        <v>4.0925000000000002</v>
      </c>
      <c r="G44" s="8">
        <f>3.2833 * CHOOSE( CONTROL!$C$15, $D$11, 100%, $F$11)</f>
        <v>3.2833000000000001</v>
      </c>
      <c r="H44" s="4">
        <f>4.2353 * CHOOSE(CONTROL!$C$15, $D$11, 100%, $F$11)</f>
        <v>4.2352999999999996</v>
      </c>
      <c r="I44" s="8">
        <f>3.3292 * CHOOSE(CONTROL!$C$15, $D$11, 100%, $F$11)</f>
        <v>3.3292000000000002</v>
      </c>
      <c r="J44" s="4">
        <f>3.215 * CHOOSE(CONTROL!$C$15, $D$11, 100%, $F$11)</f>
        <v>3.2149999999999999</v>
      </c>
      <c r="K44" s="4"/>
      <c r="L44" s="9">
        <v>30.092199999999998</v>
      </c>
      <c r="M44" s="9">
        <v>11.6745</v>
      </c>
      <c r="N44" s="9">
        <v>4.7850000000000001</v>
      </c>
      <c r="O44" s="9">
        <v>0.36199999999999999</v>
      </c>
      <c r="P44" s="9">
        <v>2.0339999999999998</v>
      </c>
      <c r="Q44" s="9"/>
      <c r="R44" s="9">
        <f t="shared" si="0"/>
        <v>0.3</v>
      </c>
      <c r="S44" s="11"/>
    </row>
    <row r="45" spans="1:19" ht="15" customHeight="1">
      <c r="A45" s="13">
        <v>42856</v>
      </c>
      <c r="B45" s="8">
        <f>CHOOSE( CONTROL!$C$32, 3.371, 3.3687) * CHOOSE(CONTROL!$C$15, $D$11, 100%, $F$11)</f>
        <v>3.371</v>
      </c>
      <c r="C45" s="8">
        <f>CHOOSE( CONTROL!$C$32, 3.3816, 3.3793) * CHOOSE(CONTROL!$C$15, $D$11, 100%, $F$11)</f>
        <v>3.3816000000000002</v>
      </c>
      <c r="D45" s="8">
        <f>CHOOSE( CONTROL!$C$32, 3.3921, 3.3898) * CHOOSE( CONTROL!$C$15, $D$11, 100%, $F$11)</f>
        <v>3.3921000000000001</v>
      </c>
      <c r="E45" s="12">
        <f>CHOOSE( CONTROL!$C$32, 3.3867, 3.3844) * CHOOSE( CONTROL!$C$15, $D$11, 100%, $F$11)</f>
        <v>3.3866999999999998</v>
      </c>
      <c r="F45" s="4">
        <f>CHOOSE( CONTROL!$C$32, 4.1, 4.0977) * CHOOSE(CONTROL!$C$15, $D$11, 100%, $F$11)</f>
        <v>4.0999999999999996</v>
      </c>
      <c r="G45" s="8">
        <f>CHOOSE( CONTROL!$C$32, 3.2911, 3.2889) * CHOOSE( CONTROL!$C$15, $D$11, 100%, $F$11)</f>
        <v>3.2911000000000001</v>
      </c>
      <c r="H45" s="4">
        <f>CHOOSE( CONTROL!$C$32, 4.2427, 4.2404) * CHOOSE(CONTROL!$C$15, $D$11, 100%, $F$11)</f>
        <v>4.2427000000000001</v>
      </c>
      <c r="I45" s="8">
        <f>CHOOSE( CONTROL!$C$32, 3.3365, 3.3343) * CHOOSE(CONTROL!$C$15, $D$11, 100%, $F$11)</f>
        <v>3.3365</v>
      </c>
      <c r="J45" s="4">
        <f>CHOOSE( CONTROL!$C$32, 3.2222, 3.22) * CHOOSE(CONTROL!$C$15, $D$11, 100%, $F$11)</f>
        <v>3.2222</v>
      </c>
      <c r="K45" s="4"/>
      <c r="L45" s="9">
        <v>30.7165</v>
      </c>
      <c r="M45" s="9">
        <v>12.063700000000001</v>
      </c>
      <c r="N45" s="9">
        <v>4.9444999999999997</v>
      </c>
      <c r="O45" s="9">
        <v>0.37409999999999999</v>
      </c>
      <c r="P45" s="9">
        <v>2.1017999999999999</v>
      </c>
      <c r="Q45" s="9">
        <v>25.076499999999999</v>
      </c>
      <c r="R45" s="9"/>
      <c r="S45" s="11"/>
    </row>
    <row r="46" spans="1:19" ht="15" customHeight="1">
      <c r="A46" s="13">
        <v>42887</v>
      </c>
      <c r="B46" s="8">
        <f>CHOOSE( CONTROL!$C$32, 3.4106, 3.4083) * CHOOSE(CONTROL!$C$15, $D$11, 100%, $F$11)</f>
        <v>3.4106000000000001</v>
      </c>
      <c r="C46" s="8">
        <f>CHOOSE( CONTROL!$C$32, 3.4212, 3.4189) * CHOOSE(CONTROL!$C$15, $D$11, 100%, $F$11)</f>
        <v>3.4211999999999998</v>
      </c>
      <c r="D46" s="8">
        <f>CHOOSE( CONTROL!$C$32, 3.432, 3.4297) * CHOOSE( CONTROL!$C$15, $D$11, 100%, $F$11)</f>
        <v>3.4319999999999999</v>
      </c>
      <c r="E46" s="12">
        <f>CHOOSE( CONTROL!$C$32, 3.4265, 3.4242) * CHOOSE( CONTROL!$C$15, $D$11, 100%, $F$11)</f>
        <v>3.4264999999999999</v>
      </c>
      <c r="F46" s="4">
        <f>CHOOSE( CONTROL!$C$32, 4.1396, 4.1373) * CHOOSE(CONTROL!$C$15, $D$11, 100%, $F$11)</f>
        <v>4.1395999999999997</v>
      </c>
      <c r="G46" s="8">
        <f>CHOOSE( CONTROL!$C$32, 3.33, 3.3278) * CHOOSE( CONTROL!$C$15, $D$11, 100%, $F$11)</f>
        <v>3.33</v>
      </c>
      <c r="H46" s="4">
        <f>CHOOSE( CONTROL!$C$32, 4.2814, 4.2791) * CHOOSE(CONTROL!$C$15, $D$11, 100%, $F$11)</f>
        <v>4.2813999999999997</v>
      </c>
      <c r="I46" s="8">
        <f>CHOOSE( CONTROL!$C$32, 3.3753, 3.3731) * CHOOSE(CONTROL!$C$15, $D$11, 100%, $F$11)</f>
        <v>3.3753000000000002</v>
      </c>
      <c r="J46" s="4">
        <f>CHOOSE( CONTROL!$C$32, 3.2602, 3.258) * CHOOSE(CONTROL!$C$15, $D$11, 100%, $F$11)</f>
        <v>3.2602000000000002</v>
      </c>
      <c r="K46" s="4"/>
      <c r="L46" s="9">
        <v>29.7257</v>
      </c>
      <c r="M46" s="9">
        <v>11.6745</v>
      </c>
      <c r="N46" s="9">
        <v>4.7850000000000001</v>
      </c>
      <c r="O46" s="9">
        <v>0.36199999999999999</v>
      </c>
      <c r="P46" s="9">
        <v>2.0339999999999998</v>
      </c>
      <c r="Q46" s="9">
        <v>24.267600000000002</v>
      </c>
      <c r="R46" s="9"/>
      <c r="S46" s="11"/>
    </row>
    <row r="47" spans="1:19" ht="15" customHeight="1">
      <c r="A47" s="13">
        <v>42917</v>
      </c>
      <c r="B47" s="8">
        <f>CHOOSE( CONTROL!$C$32, 3.4533, 3.451) * CHOOSE(CONTROL!$C$15, $D$11, 100%, $F$11)</f>
        <v>3.4533</v>
      </c>
      <c r="C47" s="8">
        <f>CHOOSE( CONTROL!$C$32, 3.4639, 3.4616) * CHOOSE(CONTROL!$C$15, $D$11, 100%, $F$11)</f>
        <v>3.4639000000000002</v>
      </c>
      <c r="D47" s="8">
        <f>CHOOSE( CONTROL!$C$32, 3.475, 3.4727) * CHOOSE( CONTROL!$C$15, $D$11, 100%, $F$11)</f>
        <v>3.4750000000000001</v>
      </c>
      <c r="E47" s="12">
        <f>CHOOSE( CONTROL!$C$32, 3.4694, 3.4671) * CHOOSE( CONTROL!$C$15, $D$11, 100%, $F$11)</f>
        <v>3.4693999999999998</v>
      </c>
      <c r="F47" s="4">
        <f>CHOOSE( CONTROL!$C$32, 4.1823, 4.18) * CHOOSE(CONTROL!$C$15, $D$11, 100%, $F$11)</f>
        <v>4.1822999999999997</v>
      </c>
      <c r="G47" s="8">
        <f>CHOOSE( CONTROL!$C$32, 3.3721, 3.3699) * CHOOSE( CONTROL!$C$15, $D$11, 100%, $F$11)</f>
        <v>3.3721000000000001</v>
      </c>
      <c r="H47" s="4">
        <f>CHOOSE( CONTROL!$C$32, 4.3231, 4.3209) * CHOOSE(CONTROL!$C$15, $D$11, 100%, $F$11)</f>
        <v>4.3231000000000002</v>
      </c>
      <c r="I47" s="8">
        <f>CHOOSE( CONTROL!$C$32, 3.4173, 3.4151) * CHOOSE(CONTROL!$C$15, $D$11, 100%, $F$11)</f>
        <v>3.4173</v>
      </c>
      <c r="J47" s="4">
        <f>CHOOSE( CONTROL!$C$32, 3.3012, 3.299) * CHOOSE(CONTROL!$C$15, $D$11, 100%, $F$11)</f>
        <v>3.3012000000000001</v>
      </c>
      <c r="K47" s="4"/>
      <c r="L47" s="9">
        <v>30.7165</v>
      </c>
      <c r="M47" s="9">
        <v>12.063700000000001</v>
      </c>
      <c r="N47" s="9">
        <v>4.9444999999999997</v>
      </c>
      <c r="O47" s="9">
        <v>0.37409999999999999</v>
      </c>
      <c r="P47" s="9">
        <v>2.1017999999999999</v>
      </c>
      <c r="Q47" s="9">
        <v>25.076499999999999</v>
      </c>
      <c r="R47" s="9"/>
      <c r="S47" s="11"/>
    </row>
    <row r="48" spans="1:19" ht="15" customHeight="1">
      <c r="A48" s="13">
        <v>42948</v>
      </c>
      <c r="B48" s="8">
        <f>CHOOSE( CONTROL!$C$32, 3.4658, 3.4635) * CHOOSE(CONTROL!$C$15, $D$11, 100%, $F$11)</f>
        <v>3.4658000000000002</v>
      </c>
      <c r="C48" s="8">
        <f>CHOOSE( CONTROL!$C$32, 3.4764, 3.4741) * CHOOSE(CONTROL!$C$15, $D$11, 100%, $F$11)</f>
        <v>3.4763999999999999</v>
      </c>
      <c r="D48" s="8">
        <f>CHOOSE( CONTROL!$C$32, 3.4876, 3.4853) * CHOOSE( CONTROL!$C$15, $D$11, 100%, $F$11)</f>
        <v>3.4876</v>
      </c>
      <c r="E48" s="12">
        <f>CHOOSE( CONTROL!$C$32, 3.4819, 3.4796) * CHOOSE( CONTROL!$C$15, $D$11, 100%, $F$11)</f>
        <v>3.4819</v>
      </c>
      <c r="F48" s="4">
        <f>CHOOSE( CONTROL!$C$32, 4.1948, 4.1925) * CHOOSE(CONTROL!$C$15, $D$11, 100%, $F$11)</f>
        <v>4.1947999999999999</v>
      </c>
      <c r="G48" s="8">
        <f>CHOOSE( CONTROL!$C$32, 3.3844, 3.3822) * CHOOSE( CONTROL!$C$15, $D$11, 100%, $F$11)</f>
        <v>3.3843999999999999</v>
      </c>
      <c r="H48" s="4">
        <f>CHOOSE( CONTROL!$C$32, 4.3354, 4.3331) * CHOOSE(CONTROL!$C$15, $D$11, 100%, $F$11)</f>
        <v>4.3353999999999999</v>
      </c>
      <c r="I48" s="8">
        <f>CHOOSE( CONTROL!$C$32, 3.4296, 3.4274) * CHOOSE(CONTROL!$C$15, $D$11, 100%, $F$11)</f>
        <v>3.4296000000000002</v>
      </c>
      <c r="J48" s="4">
        <f>CHOOSE( CONTROL!$C$32, 3.3132, 3.311) * CHOOSE(CONTROL!$C$15, $D$11, 100%, $F$11)</f>
        <v>3.3132000000000001</v>
      </c>
      <c r="K48" s="4"/>
      <c r="L48" s="9">
        <v>30.7165</v>
      </c>
      <c r="M48" s="9">
        <v>12.063700000000001</v>
      </c>
      <c r="N48" s="9">
        <v>4.9444999999999997</v>
      </c>
      <c r="O48" s="9">
        <v>0.37409999999999999</v>
      </c>
      <c r="P48" s="9">
        <v>2.1017999999999999</v>
      </c>
      <c r="Q48" s="9">
        <v>25.076499999999999</v>
      </c>
      <c r="R48" s="9"/>
      <c r="S48" s="11"/>
    </row>
    <row r="49" spans="1:19" ht="15" customHeight="1">
      <c r="A49" s="13">
        <v>42979</v>
      </c>
      <c r="B49" s="8">
        <f>CHOOSE( CONTROL!$C$32, 3.4533, 3.451) * CHOOSE(CONTROL!$C$15, $D$11, 100%, $F$11)</f>
        <v>3.4533</v>
      </c>
      <c r="C49" s="8">
        <f>CHOOSE( CONTROL!$C$32, 3.4639, 3.4616) * CHOOSE(CONTROL!$C$15, $D$11, 100%, $F$11)</f>
        <v>3.4639000000000002</v>
      </c>
      <c r="D49" s="8">
        <f>CHOOSE( CONTROL!$C$32, 3.475, 3.4727) * CHOOSE( CONTROL!$C$15, $D$11, 100%, $F$11)</f>
        <v>3.4750000000000001</v>
      </c>
      <c r="E49" s="12">
        <f>CHOOSE( CONTROL!$C$32, 3.4694, 3.4671) * CHOOSE( CONTROL!$C$15, $D$11, 100%, $F$11)</f>
        <v>3.4693999999999998</v>
      </c>
      <c r="F49" s="4">
        <f>CHOOSE( CONTROL!$C$32, 4.1823, 4.18) * CHOOSE(CONTROL!$C$15, $D$11, 100%, $F$11)</f>
        <v>4.1822999999999997</v>
      </c>
      <c r="G49" s="8">
        <f>CHOOSE( CONTROL!$C$32, 3.3722, 3.3699) * CHOOSE( CONTROL!$C$15, $D$11, 100%, $F$11)</f>
        <v>3.3721999999999999</v>
      </c>
      <c r="H49" s="4">
        <f>CHOOSE( CONTROL!$C$32, 4.3231, 4.3209) * CHOOSE(CONTROL!$C$15, $D$11, 100%, $F$11)</f>
        <v>4.3231000000000002</v>
      </c>
      <c r="I49" s="8">
        <f>CHOOSE( CONTROL!$C$32, 3.4174, 3.4152) * CHOOSE(CONTROL!$C$15, $D$11, 100%, $F$11)</f>
        <v>3.4174000000000002</v>
      </c>
      <c r="J49" s="4">
        <f>CHOOSE( CONTROL!$C$32, 3.3012, 3.299) * CHOOSE(CONTROL!$C$15, $D$11, 100%, $F$11)</f>
        <v>3.3012000000000001</v>
      </c>
      <c r="K49" s="4"/>
      <c r="L49" s="9">
        <v>29.7257</v>
      </c>
      <c r="M49" s="9">
        <v>11.6745</v>
      </c>
      <c r="N49" s="9">
        <v>4.7850000000000001</v>
      </c>
      <c r="O49" s="9">
        <v>0.36199999999999999</v>
      </c>
      <c r="P49" s="9">
        <v>2.0339999999999998</v>
      </c>
      <c r="Q49" s="9">
        <v>24.267600000000002</v>
      </c>
      <c r="R49" s="9"/>
      <c r="S49" s="11"/>
    </row>
    <row r="50" spans="1:19" ht="15" customHeight="1">
      <c r="A50" s="13">
        <v>43009</v>
      </c>
      <c r="B50" s="8">
        <f>3.4741 * CHOOSE(CONTROL!$C$15, $D$11, 100%, $F$11)</f>
        <v>3.4741</v>
      </c>
      <c r="C50" s="8">
        <f>3.4848 * CHOOSE(CONTROL!$C$15, $D$11, 100%, $F$11)</f>
        <v>3.4847999999999999</v>
      </c>
      <c r="D50" s="8">
        <f>3.4973 * CHOOSE( CONTROL!$C$15, $D$11, 100%, $F$11)</f>
        <v>3.4973000000000001</v>
      </c>
      <c r="E50" s="12">
        <f>3.492 * CHOOSE( CONTROL!$C$15, $D$11, 100%, $F$11)</f>
        <v>3.492</v>
      </c>
      <c r="F50" s="4">
        <f>4.2029 * CHOOSE(CONTROL!$C$15, $D$11, 100%, $F$11)</f>
        <v>4.2028999999999996</v>
      </c>
      <c r="G50" s="8">
        <f>3.3921 * CHOOSE( CONTROL!$C$15, $D$11, 100%, $F$11)</f>
        <v>3.3921000000000001</v>
      </c>
      <c r="H50" s="4">
        <f>4.3433 * CHOOSE(CONTROL!$C$15, $D$11, 100%, $F$11)</f>
        <v>4.3433000000000002</v>
      </c>
      <c r="I50" s="8">
        <f>3.4381 * CHOOSE(CONTROL!$C$15, $D$11, 100%, $F$11)</f>
        <v>3.4380999999999999</v>
      </c>
      <c r="J50" s="4">
        <f>3.321 * CHOOSE(CONTROL!$C$15, $D$11, 100%, $F$11)</f>
        <v>3.3210000000000002</v>
      </c>
      <c r="K50" s="4"/>
      <c r="L50" s="9">
        <v>31.095300000000002</v>
      </c>
      <c r="M50" s="9">
        <v>12.063700000000001</v>
      </c>
      <c r="N50" s="9">
        <v>4.9444999999999997</v>
      </c>
      <c r="O50" s="9">
        <v>0.37409999999999999</v>
      </c>
      <c r="P50" s="9">
        <v>2.1017999999999999</v>
      </c>
      <c r="Q50" s="9">
        <v>25.076499999999999</v>
      </c>
      <c r="R50" s="9"/>
      <c r="S50" s="11"/>
    </row>
    <row r="51" spans="1:19" ht="15" customHeight="1">
      <c r="A51" s="13">
        <v>43040</v>
      </c>
      <c r="B51" s="8">
        <f>3.548 * CHOOSE(CONTROL!$C$15, $D$11, 100%, $F$11)</f>
        <v>3.548</v>
      </c>
      <c r="C51" s="8">
        <f>3.5588 * CHOOSE(CONTROL!$C$15, $D$11, 100%, $F$11)</f>
        <v>3.5588000000000002</v>
      </c>
      <c r="D51" s="8">
        <f>3.5348 * CHOOSE( CONTROL!$C$15, $D$11, 100%, $F$11)</f>
        <v>3.5348000000000002</v>
      </c>
      <c r="E51" s="12">
        <f>3.5424 * CHOOSE( CONTROL!$C$15, $D$11, 100%, $F$11)</f>
        <v>3.5424000000000002</v>
      </c>
      <c r="F51" s="4">
        <f>4.2091 * CHOOSE(CONTROL!$C$15, $D$11, 100%, $F$11)</f>
        <v>4.2091000000000003</v>
      </c>
      <c r="G51" s="8">
        <f>3.4644 * CHOOSE( CONTROL!$C$15, $D$11, 100%, $F$11)</f>
        <v>3.4643999999999999</v>
      </c>
      <c r="H51" s="4">
        <f>4.3494 * CHOOSE(CONTROL!$C$15, $D$11, 100%, $F$11)</f>
        <v>4.3494000000000002</v>
      </c>
      <c r="I51" s="8">
        <f>3.5525 * CHOOSE(CONTROL!$C$15, $D$11, 100%, $F$11)</f>
        <v>3.5525000000000002</v>
      </c>
      <c r="J51" s="4">
        <f>3.392 * CHOOSE(CONTROL!$C$15, $D$11, 100%, $F$11)</f>
        <v>3.3919999999999999</v>
      </c>
      <c r="K51" s="4"/>
      <c r="L51" s="9">
        <v>28.360600000000002</v>
      </c>
      <c r="M51" s="9">
        <v>11.6745</v>
      </c>
      <c r="N51" s="9">
        <v>4.7850000000000001</v>
      </c>
      <c r="O51" s="9">
        <v>0.36199999999999999</v>
      </c>
      <c r="P51" s="9">
        <v>1.2509999999999999</v>
      </c>
      <c r="Q51" s="9">
        <v>24.267600000000002</v>
      </c>
      <c r="R51" s="9"/>
      <c r="S51" s="11"/>
    </row>
    <row r="52" spans="1:19" ht="15" customHeight="1">
      <c r="A52" s="13">
        <v>43070</v>
      </c>
      <c r="B52" s="8">
        <f>3.7251 * CHOOSE(CONTROL!$C$15, $D$11, 100%, $F$11)</f>
        <v>3.7250999999999999</v>
      </c>
      <c r="C52" s="8">
        <f>3.7359 * CHOOSE(CONTROL!$C$15, $D$11, 100%, $F$11)</f>
        <v>3.7359</v>
      </c>
      <c r="D52" s="8">
        <f>3.7136 * CHOOSE( CONTROL!$C$15, $D$11, 100%, $F$11)</f>
        <v>3.7136</v>
      </c>
      <c r="E52" s="12">
        <f>3.7206 * CHOOSE( CONTROL!$C$15, $D$11, 100%, $F$11)</f>
        <v>3.7206000000000001</v>
      </c>
      <c r="F52" s="4">
        <f>4.3862 * CHOOSE(CONTROL!$C$15, $D$11, 100%, $F$11)</f>
        <v>4.3861999999999997</v>
      </c>
      <c r="G52" s="8">
        <f>3.6387 * CHOOSE( CONTROL!$C$15, $D$11, 100%, $F$11)</f>
        <v>3.6387</v>
      </c>
      <c r="H52" s="4">
        <f>4.5225 * CHOOSE(CONTROL!$C$15, $D$11, 100%, $F$11)</f>
        <v>4.5225</v>
      </c>
      <c r="I52" s="8">
        <f>3.7278 * CHOOSE(CONTROL!$C$15, $D$11, 100%, $F$11)</f>
        <v>3.7277999999999998</v>
      </c>
      <c r="J52" s="4">
        <f>3.562 * CHOOSE(CONTROL!$C$15, $D$11, 100%, $F$11)</f>
        <v>3.5619999999999998</v>
      </c>
      <c r="K52" s="4"/>
      <c r="L52" s="9">
        <v>29.306000000000001</v>
      </c>
      <c r="M52" s="9">
        <v>12.063700000000001</v>
      </c>
      <c r="N52" s="9">
        <v>4.9444999999999997</v>
      </c>
      <c r="O52" s="9">
        <v>0.37409999999999999</v>
      </c>
      <c r="P52" s="9">
        <v>1.2927</v>
      </c>
      <c r="Q52" s="9">
        <v>25.076499999999999</v>
      </c>
      <c r="R52" s="9"/>
      <c r="S52" s="11"/>
    </row>
    <row r="53" spans="1:19" ht="15" customHeight="1">
      <c r="A53" s="13">
        <v>43101</v>
      </c>
      <c r="B53" s="8">
        <f>4.2473 * CHOOSE(CONTROL!$C$15, $D$11, 100%, $F$11)</f>
        <v>4.2473000000000001</v>
      </c>
      <c r="C53" s="8">
        <f>4.2581 * CHOOSE(CONTROL!$C$15, $D$11, 100%, $F$11)</f>
        <v>4.2580999999999998</v>
      </c>
      <c r="D53" s="8">
        <f>4.2397 * CHOOSE( CONTROL!$C$15, $D$11, 100%, $F$11)</f>
        <v>4.2397</v>
      </c>
      <c r="E53" s="12">
        <f>4.2453 * CHOOSE( CONTROL!$C$15, $D$11, 100%, $F$11)</f>
        <v>4.2453000000000003</v>
      </c>
      <c r="F53" s="4">
        <f>4.9084 * CHOOSE(CONTROL!$C$15, $D$11, 100%, $F$11)</f>
        <v>4.9084000000000003</v>
      </c>
      <c r="G53" s="8">
        <f>4.1449 * CHOOSE( CONTROL!$C$15, $D$11, 100%, $F$11)</f>
        <v>4.1448999999999998</v>
      </c>
      <c r="H53" s="4">
        <f>5.0331 * CHOOSE(CONTROL!$C$15, $D$11, 100%, $F$11)</f>
        <v>5.0331000000000001</v>
      </c>
      <c r="I53" s="8">
        <f>4.1848 * CHOOSE(CONTROL!$C$15, $D$11, 100%, $F$11)</f>
        <v>4.1848000000000001</v>
      </c>
      <c r="J53" s="4">
        <f>4.0634 * CHOOSE(CONTROL!$C$15, $D$11, 100%, $F$11)</f>
        <v>4.0633999999999997</v>
      </c>
      <c r="K53" s="4"/>
      <c r="L53" s="9">
        <v>29.306000000000001</v>
      </c>
      <c r="M53" s="9">
        <v>12.063700000000001</v>
      </c>
      <c r="N53" s="9">
        <v>4.9444999999999997</v>
      </c>
      <c r="O53" s="9">
        <v>0.37409999999999999</v>
      </c>
      <c r="P53" s="9">
        <v>1.2927</v>
      </c>
      <c r="Q53" s="9">
        <v>24.901700000000002</v>
      </c>
      <c r="R53" s="9"/>
      <c r="S53" s="11"/>
    </row>
    <row r="54" spans="1:19" ht="15" customHeight="1">
      <c r="A54" s="13">
        <v>43132</v>
      </c>
      <c r="B54" s="8">
        <f>3.9737 * CHOOSE(CONTROL!$C$15, $D$11, 100%, $F$11)</f>
        <v>3.9737</v>
      </c>
      <c r="C54" s="8">
        <f>3.9845 * CHOOSE(CONTROL!$C$15, $D$11, 100%, $F$11)</f>
        <v>3.9845000000000002</v>
      </c>
      <c r="D54" s="8">
        <f>3.9659 * CHOOSE( CONTROL!$C$15, $D$11, 100%, $F$11)</f>
        <v>3.9659</v>
      </c>
      <c r="E54" s="12">
        <f>3.9716 * CHOOSE( CONTROL!$C$15, $D$11, 100%, $F$11)</f>
        <v>3.9716</v>
      </c>
      <c r="F54" s="4">
        <f>4.6348 * CHOOSE(CONTROL!$C$15, $D$11, 100%, $F$11)</f>
        <v>4.6348000000000003</v>
      </c>
      <c r="G54" s="8">
        <f>3.8773 * CHOOSE( CONTROL!$C$15, $D$11, 100%, $F$11)</f>
        <v>3.8773</v>
      </c>
      <c r="H54" s="4">
        <f>4.7656 * CHOOSE(CONTROL!$C$15, $D$11, 100%, $F$11)</f>
        <v>4.7656000000000001</v>
      </c>
      <c r="I54" s="8">
        <f>3.9214 * CHOOSE(CONTROL!$C$15, $D$11, 100%, $F$11)</f>
        <v>3.9214000000000002</v>
      </c>
      <c r="J54" s="4">
        <f>3.8007 * CHOOSE(CONTROL!$C$15, $D$11, 100%, $F$11)</f>
        <v>3.8007</v>
      </c>
      <c r="K54" s="4"/>
      <c r="L54" s="9">
        <v>26.469899999999999</v>
      </c>
      <c r="M54" s="9">
        <v>10.8962</v>
      </c>
      <c r="N54" s="9">
        <v>4.4660000000000002</v>
      </c>
      <c r="O54" s="9">
        <v>0.33789999999999998</v>
      </c>
      <c r="P54" s="9">
        <v>1.1676</v>
      </c>
      <c r="Q54" s="9">
        <v>22.491800000000001</v>
      </c>
      <c r="R54" s="9"/>
      <c r="S54" s="11"/>
    </row>
    <row r="55" spans="1:19" ht="15" customHeight="1">
      <c r="A55" s="13">
        <v>43160</v>
      </c>
      <c r="B55" s="8">
        <f>3.8894 * CHOOSE(CONTROL!$C$15, $D$11, 100%, $F$11)</f>
        <v>3.8894000000000002</v>
      </c>
      <c r="C55" s="8">
        <f>3.9002 * CHOOSE(CONTROL!$C$15, $D$11, 100%, $F$11)</f>
        <v>3.9001999999999999</v>
      </c>
      <c r="D55" s="8">
        <f>3.8811 * CHOOSE( CONTROL!$C$15, $D$11, 100%, $F$11)</f>
        <v>3.8811</v>
      </c>
      <c r="E55" s="12">
        <f>3.8869 * CHOOSE( CONTROL!$C$15, $D$11, 100%, $F$11)</f>
        <v>3.8868999999999998</v>
      </c>
      <c r="F55" s="4">
        <f>4.5505 * CHOOSE(CONTROL!$C$15, $D$11, 100%, $F$11)</f>
        <v>4.5505000000000004</v>
      </c>
      <c r="G55" s="8">
        <f>3.7945 * CHOOSE( CONTROL!$C$15, $D$11, 100%, $F$11)</f>
        <v>3.7945000000000002</v>
      </c>
      <c r="H55" s="4">
        <f>4.6832 * CHOOSE(CONTROL!$C$15, $D$11, 100%, $F$11)</f>
        <v>4.6832000000000003</v>
      </c>
      <c r="I55" s="8">
        <f>3.839 * CHOOSE(CONTROL!$C$15, $D$11, 100%, $F$11)</f>
        <v>3.839</v>
      </c>
      <c r="J55" s="4">
        <f>3.7198 * CHOOSE(CONTROL!$C$15, $D$11, 100%, $F$11)</f>
        <v>3.7198000000000002</v>
      </c>
      <c r="K55" s="4"/>
      <c r="L55" s="9">
        <v>29.306000000000001</v>
      </c>
      <c r="M55" s="9">
        <v>12.063700000000001</v>
      </c>
      <c r="N55" s="9">
        <v>4.9444999999999997</v>
      </c>
      <c r="O55" s="9">
        <v>0.37409999999999999</v>
      </c>
      <c r="P55" s="9">
        <v>1.2927</v>
      </c>
      <c r="Q55" s="9">
        <v>24.901700000000002</v>
      </c>
      <c r="R55" s="9"/>
      <c r="S55" s="11"/>
    </row>
    <row r="56" spans="1:19" ht="15" customHeight="1">
      <c r="A56" s="13">
        <v>43191</v>
      </c>
      <c r="B56" s="8">
        <f>3.9483 * CHOOSE(CONTROL!$C$15, $D$11, 100%, $F$11)</f>
        <v>3.9483000000000001</v>
      </c>
      <c r="C56" s="8">
        <f>3.9591 * CHOOSE(CONTROL!$C$15, $D$11, 100%, $F$11)</f>
        <v>3.9590999999999998</v>
      </c>
      <c r="D56" s="8">
        <f>3.9938 * CHOOSE( CONTROL!$C$15, $D$11, 100%, $F$11)</f>
        <v>3.9937999999999998</v>
      </c>
      <c r="E56" s="12">
        <f>3.9811 * CHOOSE( CONTROL!$C$15, $D$11, 100%, $F$11)</f>
        <v>3.9811000000000001</v>
      </c>
      <c r="F56" s="4">
        <f>4.6771 * CHOOSE(CONTROL!$C$15, $D$11, 100%, $F$11)</f>
        <v>4.6771000000000003</v>
      </c>
      <c r="G56" s="8">
        <f>3.8549 * CHOOSE( CONTROL!$C$15, $D$11, 100%, $F$11)</f>
        <v>3.8549000000000002</v>
      </c>
      <c r="H56" s="4">
        <f>4.807 * CHOOSE(CONTROL!$C$15, $D$11, 100%, $F$11)</f>
        <v>4.8070000000000004</v>
      </c>
      <c r="I56" s="8">
        <f>3.8908 * CHOOSE(CONTROL!$C$15, $D$11, 100%, $F$11)</f>
        <v>3.8908</v>
      </c>
      <c r="J56" s="4">
        <f>3.7763 * CHOOSE(CONTROL!$C$15, $D$11, 100%, $F$11)</f>
        <v>3.7763</v>
      </c>
      <c r="K56" s="4"/>
      <c r="L56" s="9">
        <v>30.092199999999998</v>
      </c>
      <c r="M56" s="9">
        <v>11.6745</v>
      </c>
      <c r="N56" s="9">
        <v>4.7850000000000001</v>
      </c>
      <c r="O56" s="9">
        <v>0.36199999999999999</v>
      </c>
      <c r="P56" s="9">
        <v>1.1791</v>
      </c>
      <c r="Q56" s="9">
        <v>24.098400000000002</v>
      </c>
      <c r="R56" s="9"/>
      <c r="S56" s="11"/>
    </row>
    <row r="57" spans="1:19" ht="15" customHeight="1">
      <c r="A57" s="13">
        <v>43221</v>
      </c>
      <c r="B57" s="8">
        <f>CHOOSE( CONTROL!$C$32, 4.0553, 4.053) * CHOOSE(CONTROL!$C$15, $D$11, 100%, $F$11)</f>
        <v>4.0552999999999999</v>
      </c>
      <c r="C57" s="8">
        <f>CHOOSE( CONTROL!$C$32, 4.0659, 4.0635) * CHOOSE(CONTROL!$C$15, $D$11, 100%, $F$11)</f>
        <v>4.0659000000000001</v>
      </c>
      <c r="D57" s="8">
        <f>CHOOSE( CONTROL!$C$32, 4.0997, 4.0974) * CHOOSE( CONTROL!$C$15, $D$11, 100%, $F$11)</f>
        <v>4.0997000000000003</v>
      </c>
      <c r="E57" s="12">
        <f>CHOOSE( CONTROL!$C$32, 4.0858, 4.0835) * CHOOSE( CONTROL!$C$15, $D$11, 100%, $F$11)</f>
        <v>4.0857999999999999</v>
      </c>
      <c r="F57" s="4">
        <f>CHOOSE( CONTROL!$C$32, 4.7842, 4.7819) * CHOOSE(CONTROL!$C$15, $D$11, 100%, $F$11)</f>
        <v>4.7842000000000002</v>
      </c>
      <c r="G57" s="8">
        <f>CHOOSE( CONTROL!$C$32, 3.9601, 3.9578) * CHOOSE( CONTROL!$C$15, $D$11, 100%, $F$11)</f>
        <v>3.9601000000000002</v>
      </c>
      <c r="H57" s="4">
        <f>CHOOSE( CONTROL!$C$32, 4.9117, 4.9094) * CHOOSE(CONTROL!$C$15, $D$11, 100%, $F$11)</f>
        <v>4.9116999999999997</v>
      </c>
      <c r="I57" s="8">
        <f>CHOOSE( CONTROL!$C$32, 3.9938, 3.9916) * CHOOSE(CONTROL!$C$15, $D$11, 100%, $F$11)</f>
        <v>3.9937999999999998</v>
      </c>
      <c r="J57" s="4">
        <f>CHOOSE( CONTROL!$C$32, 3.8791, 3.8769) * CHOOSE(CONTROL!$C$15, $D$11, 100%, $F$11)</f>
        <v>3.8791000000000002</v>
      </c>
      <c r="K57" s="4"/>
      <c r="L57" s="9">
        <v>30.7165</v>
      </c>
      <c r="M57" s="9">
        <v>12.063700000000001</v>
      </c>
      <c r="N57" s="9">
        <v>4.9444999999999997</v>
      </c>
      <c r="O57" s="9">
        <v>0.37409999999999999</v>
      </c>
      <c r="P57" s="9">
        <v>1.2183999999999999</v>
      </c>
      <c r="Q57" s="9">
        <v>24.901700000000002</v>
      </c>
      <c r="R57" s="9"/>
      <c r="S57" s="11"/>
    </row>
    <row r="58" spans="1:19" ht="15" customHeight="1">
      <c r="A58" s="13">
        <v>43252</v>
      </c>
      <c r="B58" s="8">
        <f>CHOOSE( CONTROL!$C$32, 3.9904, 3.9881) * CHOOSE(CONTROL!$C$15, $D$11, 100%, $F$11)</f>
        <v>3.9904000000000002</v>
      </c>
      <c r="C58" s="8">
        <f>CHOOSE( CONTROL!$C$32, 4.0009, 3.9986) * CHOOSE(CONTROL!$C$15, $D$11, 100%, $F$11)</f>
        <v>4.0008999999999997</v>
      </c>
      <c r="D58" s="8">
        <f>CHOOSE( CONTROL!$C$32, 4.0349, 4.0326) * CHOOSE( CONTROL!$C$15, $D$11, 100%, $F$11)</f>
        <v>4.0349000000000004</v>
      </c>
      <c r="E58" s="12">
        <f>CHOOSE( CONTROL!$C$32, 4.021, 4.0187) * CHOOSE( CONTROL!$C$15, $D$11, 100%, $F$11)</f>
        <v>4.0209999999999999</v>
      </c>
      <c r="F58" s="4">
        <f>CHOOSE( CONTROL!$C$32, 4.7193, 4.717) * CHOOSE(CONTROL!$C$15, $D$11, 100%, $F$11)</f>
        <v>4.7192999999999996</v>
      </c>
      <c r="G58" s="8">
        <f>CHOOSE( CONTROL!$C$32, 3.8969, 3.8946) * CHOOSE( CONTROL!$C$15, $D$11, 100%, $F$11)</f>
        <v>3.8969</v>
      </c>
      <c r="H58" s="4">
        <f>CHOOSE( CONTROL!$C$32, 4.8482, 4.8459) * CHOOSE(CONTROL!$C$15, $D$11, 100%, $F$11)</f>
        <v>4.8482000000000003</v>
      </c>
      <c r="I58" s="8">
        <f>CHOOSE( CONTROL!$C$32, 3.9322, 3.93) * CHOOSE(CONTROL!$C$15, $D$11, 100%, $F$11)</f>
        <v>3.9321999999999999</v>
      </c>
      <c r="J58" s="4">
        <f>CHOOSE( CONTROL!$C$32, 3.8168, 3.8146) * CHOOSE(CONTROL!$C$15, $D$11, 100%, $F$11)</f>
        <v>3.8168000000000002</v>
      </c>
      <c r="K58" s="4"/>
      <c r="L58" s="9">
        <v>29.7257</v>
      </c>
      <c r="M58" s="9">
        <v>11.6745</v>
      </c>
      <c r="N58" s="9">
        <v>4.7850000000000001</v>
      </c>
      <c r="O58" s="9">
        <v>0.36199999999999999</v>
      </c>
      <c r="P58" s="9">
        <v>1.1791</v>
      </c>
      <c r="Q58" s="9">
        <v>24.098400000000002</v>
      </c>
      <c r="R58" s="9"/>
      <c r="S58" s="11"/>
    </row>
    <row r="59" spans="1:19" ht="15" customHeight="1">
      <c r="A59" s="13">
        <v>43282</v>
      </c>
      <c r="B59" s="8">
        <f>CHOOSE( CONTROL!$C$32, 4.1613, 4.159) * CHOOSE(CONTROL!$C$15, $D$11, 100%, $F$11)</f>
        <v>4.1612999999999998</v>
      </c>
      <c r="C59" s="8">
        <f>CHOOSE( CONTROL!$C$32, 4.1719, 4.1696) * CHOOSE(CONTROL!$C$15, $D$11, 100%, $F$11)</f>
        <v>4.1718999999999999</v>
      </c>
      <c r="D59" s="8">
        <f>CHOOSE( CONTROL!$C$32, 4.2061, 4.2038) * CHOOSE( CONTROL!$C$15, $D$11, 100%, $F$11)</f>
        <v>4.2061000000000002</v>
      </c>
      <c r="E59" s="12">
        <f>CHOOSE( CONTROL!$C$32, 4.1921, 4.1898) * CHOOSE( CONTROL!$C$15, $D$11, 100%, $F$11)</f>
        <v>4.1920999999999999</v>
      </c>
      <c r="F59" s="4">
        <f>CHOOSE( CONTROL!$C$32, 4.8903, 4.888) * CHOOSE(CONTROL!$C$15, $D$11, 100%, $F$11)</f>
        <v>4.8902999999999999</v>
      </c>
      <c r="G59" s="8">
        <f>CHOOSE( CONTROL!$C$32, 4.0643, 4.0621) * CHOOSE( CONTROL!$C$15, $D$11, 100%, $F$11)</f>
        <v>4.0643000000000002</v>
      </c>
      <c r="H59" s="4">
        <f>CHOOSE( CONTROL!$C$32, 5.0153, 5.0131) * CHOOSE(CONTROL!$C$15, $D$11, 100%, $F$11)</f>
        <v>5.0152999999999999</v>
      </c>
      <c r="I59" s="8">
        <f>CHOOSE( CONTROL!$C$32, 4.0974, 4.0952) * CHOOSE(CONTROL!$C$15, $D$11, 100%, $F$11)</f>
        <v>4.0974000000000004</v>
      </c>
      <c r="J59" s="4">
        <f>CHOOSE( CONTROL!$C$32, 3.981, 3.9787) * CHOOSE(CONTROL!$C$15, $D$11, 100%, $F$11)</f>
        <v>3.9809999999999999</v>
      </c>
      <c r="K59" s="4"/>
      <c r="L59" s="9">
        <v>30.7165</v>
      </c>
      <c r="M59" s="9">
        <v>12.063700000000001</v>
      </c>
      <c r="N59" s="9">
        <v>4.9444999999999997</v>
      </c>
      <c r="O59" s="9">
        <v>0.37409999999999999</v>
      </c>
      <c r="P59" s="9">
        <v>1.2183999999999999</v>
      </c>
      <c r="Q59" s="9">
        <v>24.901700000000002</v>
      </c>
      <c r="R59" s="9"/>
      <c r="S59" s="11"/>
    </row>
    <row r="60" spans="1:19" ht="15" customHeight="1">
      <c r="A60" s="13">
        <v>43313</v>
      </c>
      <c r="B60" s="8">
        <f>CHOOSE( CONTROL!$C$32, 3.8414, 3.8391) * CHOOSE(CONTROL!$C$15, $D$11, 100%, $F$11)</f>
        <v>3.8414000000000001</v>
      </c>
      <c r="C60" s="8">
        <f>CHOOSE( CONTROL!$C$32, 3.852, 3.8497) * CHOOSE(CONTROL!$C$15, $D$11, 100%, $F$11)</f>
        <v>3.8519999999999999</v>
      </c>
      <c r="D60" s="8">
        <f>CHOOSE( CONTROL!$C$32, 3.8863, 3.884) * CHOOSE( CONTROL!$C$15, $D$11, 100%, $F$11)</f>
        <v>3.8862999999999999</v>
      </c>
      <c r="E60" s="12">
        <f>CHOOSE( CONTROL!$C$32, 3.8723, 3.87) * CHOOSE( CONTROL!$C$15, $D$11, 100%, $F$11)</f>
        <v>3.8723000000000001</v>
      </c>
      <c r="F60" s="4">
        <f>CHOOSE( CONTROL!$C$32, 4.5704, 4.5681) * CHOOSE(CONTROL!$C$15, $D$11, 100%, $F$11)</f>
        <v>4.5704000000000002</v>
      </c>
      <c r="G60" s="8">
        <f>CHOOSE( CONTROL!$C$32, 3.7517, 3.7494) * CHOOSE( CONTROL!$C$15, $D$11, 100%, $F$11)</f>
        <v>3.7517</v>
      </c>
      <c r="H60" s="4">
        <f>CHOOSE( CONTROL!$C$32, 4.7026, 4.7003) * CHOOSE(CONTROL!$C$15, $D$11, 100%, $F$11)</f>
        <v>4.7026000000000003</v>
      </c>
      <c r="I60" s="8">
        <f>CHOOSE( CONTROL!$C$32, 3.7904, 3.7882) * CHOOSE(CONTROL!$C$15, $D$11, 100%, $F$11)</f>
        <v>3.7904</v>
      </c>
      <c r="J60" s="4">
        <f>CHOOSE( CONTROL!$C$32, 3.6738, 3.6716) * CHOOSE(CONTROL!$C$15, $D$11, 100%, $F$11)</f>
        <v>3.6738</v>
      </c>
      <c r="K60" s="4"/>
      <c r="L60" s="9">
        <v>30.7165</v>
      </c>
      <c r="M60" s="9">
        <v>12.063700000000001</v>
      </c>
      <c r="N60" s="9">
        <v>4.9444999999999997</v>
      </c>
      <c r="O60" s="9">
        <v>0.37409999999999999</v>
      </c>
      <c r="P60" s="9">
        <v>1.2183999999999999</v>
      </c>
      <c r="Q60" s="9">
        <v>24.901700000000002</v>
      </c>
      <c r="R60" s="9"/>
      <c r="S60" s="11"/>
    </row>
    <row r="61" spans="1:19" ht="15" customHeight="1">
      <c r="A61" s="13">
        <v>43344</v>
      </c>
      <c r="B61" s="8">
        <f>CHOOSE( CONTROL!$C$32, 3.7613, 3.759) * CHOOSE(CONTROL!$C$15, $D$11, 100%, $F$11)</f>
        <v>3.7612999999999999</v>
      </c>
      <c r="C61" s="8">
        <f>CHOOSE( CONTROL!$C$32, 3.7719, 3.7696) * CHOOSE(CONTROL!$C$15, $D$11, 100%, $F$11)</f>
        <v>3.7719</v>
      </c>
      <c r="D61" s="8">
        <f>CHOOSE( CONTROL!$C$32, 3.8061, 3.8038) * CHOOSE( CONTROL!$C$15, $D$11, 100%, $F$11)</f>
        <v>3.8060999999999998</v>
      </c>
      <c r="E61" s="12">
        <f>CHOOSE( CONTROL!$C$32, 3.7921, 3.7898) * CHOOSE( CONTROL!$C$15, $D$11, 100%, $F$11)</f>
        <v>3.7921</v>
      </c>
      <c r="F61" s="4">
        <f>CHOOSE( CONTROL!$C$32, 4.4903, 4.488) * CHOOSE(CONTROL!$C$15, $D$11, 100%, $F$11)</f>
        <v>4.4903000000000004</v>
      </c>
      <c r="G61" s="8">
        <f>CHOOSE( CONTROL!$C$32, 3.6733, 3.671) * CHOOSE( CONTROL!$C$15, $D$11, 100%, $F$11)</f>
        <v>3.6732999999999998</v>
      </c>
      <c r="H61" s="4">
        <f>CHOOSE( CONTROL!$C$32, 4.6243, 4.622) * CHOOSE(CONTROL!$C$15, $D$11, 100%, $F$11)</f>
        <v>4.6242999999999999</v>
      </c>
      <c r="I61" s="8">
        <f>CHOOSE( CONTROL!$C$32, 3.7133, 3.7111) * CHOOSE(CONTROL!$C$15, $D$11, 100%, $F$11)</f>
        <v>3.7132999999999998</v>
      </c>
      <c r="J61" s="4">
        <f>CHOOSE( CONTROL!$C$32, 3.5969, 3.5947) * CHOOSE(CONTROL!$C$15, $D$11, 100%, $F$11)</f>
        <v>3.5969000000000002</v>
      </c>
      <c r="K61" s="4"/>
      <c r="L61" s="9">
        <v>29.7257</v>
      </c>
      <c r="M61" s="9">
        <v>11.6745</v>
      </c>
      <c r="N61" s="9">
        <v>4.7850000000000001</v>
      </c>
      <c r="O61" s="9">
        <v>0.36199999999999999</v>
      </c>
      <c r="P61" s="9">
        <v>1.1791</v>
      </c>
      <c r="Q61" s="9">
        <v>24.098400000000002</v>
      </c>
      <c r="R61" s="9"/>
      <c r="S61" s="11"/>
    </row>
    <row r="62" spans="1:19" ht="15" customHeight="1">
      <c r="A62" s="13">
        <v>43374</v>
      </c>
      <c r="B62" s="8">
        <f>3.9255 * CHOOSE(CONTROL!$C$15, $D$11, 100%, $F$11)</f>
        <v>3.9255</v>
      </c>
      <c r="C62" s="8">
        <f>3.9362 * CHOOSE(CONTROL!$C$15, $D$11, 100%, $F$11)</f>
        <v>3.9361999999999999</v>
      </c>
      <c r="D62" s="8">
        <f>3.9716 * CHOOSE( CONTROL!$C$15, $D$11, 100%, $F$11)</f>
        <v>3.9716</v>
      </c>
      <c r="E62" s="12">
        <f>3.9588 * CHOOSE( CONTROL!$C$15, $D$11, 100%, $F$11)</f>
        <v>3.9588000000000001</v>
      </c>
      <c r="F62" s="4">
        <f>4.6543 * CHOOSE(CONTROL!$C$15, $D$11, 100%, $F$11)</f>
        <v>4.6543000000000001</v>
      </c>
      <c r="G62" s="8">
        <f>3.8335 * CHOOSE( CONTROL!$C$15, $D$11, 100%, $F$11)</f>
        <v>3.8334999999999999</v>
      </c>
      <c r="H62" s="4">
        <f>4.7846 * CHOOSE(CONTROL!$C$15, $D$11, 100%, $F$11)</f>
        <v>4.7846000000000002</v>
      </c>
      <c r="I62" s="8">
        <f>3.8717 * CHOOSE(CONTROL!$C$15, $D$11, 100%, $F$11)</f>
        <v>3.8717000000000001</v>
      </c>
      <c r="J62" s="4">
        <f>3.7544 * CHOOSE(CONTROL!$C$15, $D$11, 100%, $F$11)</f>
        <v>3.7544</v>
      </c>
      <c r="K62" s="4"/>
      <c r="L62" s="9">
        <v>31.095300000000002</v>
      </c>
      <c r="M62" s="9">
        <v>12.063700000000001</v>
      </c>
      <c r="N62" s="9">
        <v>4.9444999999999997</v>
      </c>
      <c r="O62" s="9">
        <v>0.37409999999999999</v>
      </c>
      <c r="P62" s="9">
        <v>1.2183999999999999</v>
      </c>
      <c r="Q62" s="9">
        <v>24.901700000000002</v>
      </c>
      <c r="R62" s="9"/>
      <c r="S62" s="11"/>
    </row>
    <row r="63" spans="1:19" ht="15" customHeight="1">
      <c r="A63" s="13">
        <v>43405</v>
      </c>
      <c r="B63" s="8">
        <f>4.2325 * CHOOSE(CONTROL!$C$15, $D$11, 100%, $F$11)</f>
        <v>4.2324999999999999</v>
      </c>
      <c r="C63" s="8">
        <f>4.2433 * CHOOSE(CONTROL!$C$15, $D$11, 100%, $F$11)</f>
        <v>4.2432999999999996</v>
      </c>
      <c r="D63" s="8">
        <f>4.2193 * CHOOSE( CONTROL!$C$15, $D$11, 100%, $F$11)</f>
        <v>4.2192999999999996</v>
      </c>
      <c r="E63" s="12">
        <f>4.2269 * CHOOSE( CONTROL!$C$15, $D$11, 100%, $F$11)</f>
        <v>4.2268999999999997</v>
      </c>
      <c r="F63" s="4">
        <f>4.8936 * CHOOSE(CONTROL!$C$15, $D$11, 100%, $F$11)</f>
        <v>4.8936000000000002</v>
      </c>
      <c r="G63" s="8">
        <f>4.1336 * CHOOSE( CONTROL!$C$15, $D$11, 100%, $F$11)</f>
        <v>4.1336000000000004</v>
      </c>
      <c r="H63" s="4">
        <f>5.0186 * CHOOSE(CONTROL!$C$15, $D$11, 100%, $F$11)</f>
        <v>5.0186000000000002</v>
      </c>
      <c r="I63" s="8">
        <f>4.21 * CHOOSE(CONTROL!$C$15, $D$11, 100%, $F$11)</f>
        <v>4.21</v>
      </c>
      <c r="J63" s="4">
        <f>4.0492 * CHOOSE(CONTROL!$C$15, $D$11, 100%, $F$11)</f>
        <v>4.0491999999999999</v>
      </c>
      <c r="K63" s="4"/>
      <c r="L63" s="9">
        <v>28.360600000000002</v>
      </c>
      <c r="M63" s="9">
        <v>11.6745</v>
      </c>
      <c r="N63" s="9">
        <v>4.7850000000000001</v>
      </c>
      <c r="O63" s="9">
        <v>0.36199999999999999</v>
      </c>
      <c r="P63" s="9">
        <v>1.2509999999999999</v>
      </c>
      <c r="Q63" s="9">
        <v>24.098400000000002</v>
      </c>
      <c r="R63" s="9"/>
      <c r="S63" s="11"/>
    </row>
    <row r="64" spans="1:19" ht="15" customHeight="1">
      <c r="A64" s="13">
        <v>43435</v>
      </c>
      <c r="B64" s="8">
        <f>4.2248 * CHOOSE(CONTROL!$C$15, $D$11, 100%, $F$11)</f>
        <v>4.2248000000000001</v>
      </c>
      <c r="C64" s="8">
        <f>4.2356 * CHOOSE(CONTROL!$C$15, $D$11, 100%, $F$11)</f>
        <v>4.2355999999999998</v>
      </c>
      <c r="D64" s="8">
        <f>4.2133 * CHOOSE( CONTROL!$C$15, $D$11, 100%, $F$11)</f>
        <v>4.2133000000000003</v>
      </c>
      <c r="E64" s="12">
        <f>4.2203 * CHOOSE( CONTROL!$C$15, $D$11, 100%, $F$11)</f>
        <v>4.2202999999999999</v>
      </c>
      <c r="F64" s="4">
        <f>4.8859 * CHOOSE(CONTROL!$C$15, $D$11, 100%, $F$11)</f>
        <v>4.8859000000000004</v>
      </c>
      <c r="G64" s="8">
        <f>4.1273 * CHOOSE( CONTROL!$C$15, $D$11, 100%, $F$11)</f>
        <v>4.1273</v>
      </c>
      <c r="H64" s="4">
        <f>5.0111 * CHOOSE(CONTROL!$C$15, $D$11, 100%, $F$11)</f>
        <v>5.0110999999999999</v>
      </c>
      <c r="I64" s="8">
        <f>4.2078 * CHOOSE(CONTROL!$C$15, $D$11, 100%, $F$11)</f>
        <v>4.2077999999999998</v>
      </c>
      <c r="J64" s="4">
        <f>4.0418 * CHOOSE(CONTROL!$C$15, $D$11, 100%, $F$11)</f>
        <v>4.0418000000000003</v>
      </c>
      <c r="K64" s="4"/>
      <c r="L64" s="9">
        <v>29.306000000000001</v>
      </c>
      <c r="M64" s="9">
        <v>12.063700000000001</v>
      </c>
      <c r="N64" s="9">
        <v>4.9444999999999997</v>
      </c>
      <c r="O64" s="9">
        <v>0.37409999999999999</v>
      </c>
      <c r="P64" s="9">
        <v>1.2927</v>
      </c>
      <c r="Q64" s="9">
        <v>24.901700000000002</v>
      </c>
      <c r="R64" s="9"/>
      <c r="S64" s="11"/>
    </row>
    <row r="65" spans="1:19" ht="15" customHeight="1">
      <c r="A65" s="13">
        <v>43466</v>
      </c>
      <c r="B65" s="8">
        <f>4.4722 * CHOOSE(CONTROL!$C$15, $D$11, 100%, $F$11)</f>
        <v>4.4722</v>
      </c>
      <c r="C65" s="8">
        <f>4.483 * CHOOSE(CONTROL!$C$15, $D$11, 100%, $F$11)</f>
        <v>4.4829999999999997</v>
      </c>
      <c r="D65" s="8">
        <f>4.4646 * CHOOSE( CONTROL!$C$15, $D$11, 100%, $F$11)</f>
        <v>4.4645999999999999</v>
      </c>
      <c r="E65" s="12">
        <f>4.4702 * CHOOSE( CONTROL!$C$15, $D$11, 100%, $F$11)</f>
        <v>4.4702000000000002</v>
      </c>
      <c r="F65" s="4">
        <f>5.1333 * CHOOSE(CONTROL!$C$15, $D$11, 100%, $F$11)</f>
        <v>5.1333000000000002</v>
      </c>
      <c r="G65" s="8">
        <f>4.3648 * CHOOSE( CONTROL!$C$15, $D$11, 100%, $F$11)</f>
        <v>4.3647999999999998</v>
      </c>
      <c r="H65" s="4">
        <f>5.253 * CHOOSE(CONTROL!$C$15, $D$11, 100%, $F$11)</f>
        <v>5.2530000000000001</v>
      </c>
      <c r="I65" s="8">
        <f>4.4008 * CHOOSE(CONTROL!$C$15, $D$11, 100%, $F$11)</f>
        <v>4.4008000000000003</v>
      </c>
      <c r="J65" s="4">
        <f>4.2793 * CHOOSE(CONTROL!$C$15, $D$11, 100%, $F$11)</f>
        <v>4.2793000000000001</v>
      </c>
      <c r="K65" s="4"/>
      <c r="L65" s="9">
        <v>29.306000000000001</v>
      </c>
      <c r="M65" s="9">
        <v>12.063700000000001</v>
      </c>
      <c r="N65" s="9">
        <v>4.9444999999999997</v>
      </c>
      <c r="O65" s="9">
        <v>0.37409999999999999</v>
      </c>
      <c r="P65" s="9">
        <v>1.2927</v>
      </c>
      <c r="Q65" s="9">
        <v>24.651199999999999</v>
      </c>
      <c r="R65" s="9"/>
      <c r="S65" s="11"/>
    </row>
    <row r="66" spans="1:19" ht="15" customHeight="1">
      <c r="A66" s="13">
        <v>43497</v>
      </c>
      <c r="B66" s="8">
        <f>4.1841 * CHOOSE(CONTROL!$C$15, $D$11, 100%, $F$11)</f>
        <v>4.1840999999999999</v>
      </c>
      <c r="C66" s="8">
        <f>4.1948 * CHOOSE(CONTROL!$C$15, $D$11, 100%, $F$11)</f>
        <v>4.1947999999999999</v>
      </c>
      <c r="D66" s="8">
        <f>4.1763 * CHOOSE( CONTROL!$C$15, $D$11, 100%, $F$11)</f>
        <v>4.1763000000000003</v>
      </c>
      <c r="E66" s="12">
        <f>4.1819 * CHOOSE( CONTROL!$C$15, $D$11, 100%, $F$11)</f>
        <v>4.1818999999999997</v>
      </c>
      <c r="F66" s="4">
        <f>4.8452 * CHOOSE(CONTROL!$C$15, $D$11, 100%, $F$11)</f>
        <v>4.8452000000000002</v>
      </c>
      <c r="G66" s="8">
        <f>4.083 * CHOOSE( CONTROL!$C$15, $D$11, 100%, $F$11)</f>
        <v>4.0830000000000002</v>
      </c>
      <c r="H66" s="4">
        <f>4.9713 * CHOOSE(CONTROL!$C$15, $D$11, 100%, $F$11)</f>
        <v>4.9713000000000003</v>
      </c>
      <c r="I66" s="8">
        <f>4.1235 * CHOOSE(CONTROL!$C$15, $D$11, 100%, $F$11)</f>
        <v>4.1234999999999999</v>
      </c>
      <c r="J66" s="4">
        <f>4.0027 * CHOOSE(CONTROL!$C$15, $D$11, 100%, $F$11)</f>
        <v>4.0026999999999999</v>
      </c>
      <c r="K66" s="4"/>
      <c r="L66" s="9">
        <v>26.469899999999999</v>
      </c>
      <c r="M66" s="9">
        <v>10.8962</v>
      </c>
      <c r="N66" s="9">
        <v>4.4660000000000002</v>
      </c>
      <c r="O66" s="9">
        <v>0.33789999999999998</v>
      </c>
      <c r="P66" s="9">
        <v>1.1676</v>
      </c>
      <c r="Q66" s="9">
        <v>22.265599999999999</v>
      </c>
      <c r="R66" s="9"/>
      <c r="S66" s="11"/>
    </row>
    <row r="67" spans="1:19" ht="15" customHeight="1">
      <c r="A67" s="13">
        <v>43525</v>
      </c>
      <c r="B67" s="8">
        <f>4.0953 * CHOOSE(CONTROL!$C$15, $D$11, 100%, $F$11)</f>
        <v>4.0952999999999999</v>
      </c>
      <c r="C67" s="8">
        <f>4.1061 * CHOOSE(CONTROL!$C$15, $D$11, 100%, $F$11)</f>
        <v>4.1060999999999996</v>
      </c>
      <c r="D67" s="8">
        <f>4.087 * CHOOSE( CONTROL!$C$15, $D$11, 100%, $F$11)</f>
        <v>4.0869999999999997</v>
      </c>
      <c r="E67" s="12">
        <f>4.0928 * CHOOSE( CONTROL!$C$15, $D$11, 100%, $F$11)</f>
        <v>4.0928000000000004</v>
      </c>
      <c r="F67" s="4">
        <f>4.7564 * CHOOSE(CONTROL!$C$15, $D$11, 100%, $F$11)</f>
        <v>4.7564000000000002</v>
      </c>
      <c r="G67" s="8">
        <f>3.9959 * CHOOSE( CONTROL!$C$15, $D$11, 100%, $F$11)</f>
        <v>3.9958999999999998</v>
      </c>
      <c r="H67" s="4">
        <f>4.8845 * CHOOSE(CONTROL!$C$15, $D$11, 100%, $F$11)</f>
        <v>4.8845000000000001</v>
      </c>
      <c r="I67" s="8">
        <f>4.0367 * CHOOSE(CONTROL!$C$15, $D$11, 100%, $F$11)</f>
        <v>4.0366999999999997</v>
      </c>
      <c r="J67" s="4">
        <f>3.9175 * CHOOSE(CONTROL!$C$15, $D$11, 100%, $F$11)</f>
        <v>3.9175</v>
      </c>
      <c r="K67" s="4"/>
      <c r="L67" s="9">
        <v>29.306000000000001</v>
      </c>
      <c r="M67" s="9">
        <v>12.063700000000001</v>
      </c>
      <c r="N67" s="9">
        <v>4.9444999999999997</v>
      </c>
      <c r="O67" s="9">
        <v>0.37409999999999999</v>
      </c>
      <c r="P67" s="9">
        <v>1.2927</v>
      </c>
      <c r="Q67" s="9">
        <v>24.651199999999999</v>
      </c>
      <c r="R67" s="9"/>
      <c r="S67" s="11"/>
    </row>
    <row r="68" spans="1:19" ht="15" customHeight="1">
      <c r="A68" s="13">
        <v>43556</v>
      </c>
      <c r="B68" s="8">
        <f>4.1573 * CHOOSE(CONTROL!$C$15, $D$11, 100%, $F$11)</f>
        <v>4.1573000000000002</v>
      </c>
      <c r="C68" s="8">
        <f>4.1681 * CHOOSE(CONTROL!$C$15, $D$11, 100%, $F$11)</f>
        <v>4.1680999999999999</v>
      </c>
      <c r="D68" s="8">
        <f>4.2028 * CHOOSE( CONTROL!$C$15, $D$11, 100%, $F$11)</f>
        <v>4.2027999999999999</v>
      </c>
      <c r="E68" s="12">
        <f>4.1901 * CHOOSE( CONTROL!$C$15, $D$11, 100%, $F$11)</f>
        <v>4.1901000000000002</v>
      </c>
      <c r="F68" s="4">
        <f>4.8861 * CHOOSE(CONTROL!$C$15, $D$11, 100%, $F$11)</f>
        <v>4.8860999999999999</v>
      </c>
      <c r="G68" s="8">
        <f>4.0592 * CHOOSE( CONTROL!$C$15, $D$11, 100%, $F$11)</f>
        <v>4.0591999999999997</v>
      </c>
      <c r="H68" s="4">
        <f>5.0113 * CHOOSE(CONTROL!$C$15, $D$11, 100%, $F$11)</f>
        <v>5.0113000000000003</v>
      </c>
      <c r="I68" s="8">
        <f>4.0916 * CHOOSE(CONTROL!$C$15, $D$11, 100%, $F$11)</f>
        <v>4.0915999999999997</v>
      </c>
      <c r="J68" s="4">
        <f>3.977 * CHOOSE(CONTROL!$C$15, $D$11, 100%, $F$11)</f>
        <v>3.9769999999999999</v>
      </c>
      <c r="K68" s="4"/>
      <c r="L68" s="9">
        <v>30.092199999999998</v>
      </c>
      <c r="M68" s="9">
        <v>11.6745</v>
      </c>
      <c r="N68" s="9">
        <v>4.7850000000000001</v>
      </c>
      <c r="O68" s="9">
        <v>0.36199999999999999</v>
      </c>
      <c r="P68" s="9">
        <v>1.1791</v>
      </c>
      <c r="Q68" s="9">
        <v>23.856000000000002</v>
      </c>
      <c r="R68" s="9"/>
      <c r="S68" s="11"/>
    </row>
    <row r="69" spans="1:19" ht="15" customHeight="1">
      <c r="A69" s="13">
        <v>43586</v>
      </c>
      <c r="B69" s="8">
        <f>CHOOSE( CONTROL!$C$32, 4.2699, 4.2676) * CHOOSE(CONTROL!$C$15, $D$11, 100%, $F$11)</f>
        <v>4.2698999999999998</v>
      </c>
      <c r="C69" s="8">
        <f>CHOOSE( CONTROL!$C$32, 4.2804, 4.2781) * CHOOSE(CONTROL!$C$15, $D$11, 100%, $F$11)</f>
        <v>4.2804000000000002</v>
      </c>
      <c r="D69" s="8">
        <f>CHOOSE( CONTROL!$C$32, 4.3143, 4.312) * CHOOSE( CONTROL!$C$15, $D$11, 100%, $F$11)</f>
        <v>4.3143000000000002</v>
      </c>
      <c r="E69" s="12">
        <f>CHOOSE( CONTROL!$C$32, 4.3004, 4.2981) * CHOOSE( CONTROL!$C$15, $D$11, 100%, $F$11)</f>
        <v>4.3003999999999998</v>
      </c>
      <c r="F69" s="4">
        <f>CHOOSE( CONTROL!$C$32, 4.9988, 4.9965) * CHOOSE(CONTROL!$C$15, $D$11, 100%, $F$11)</f>
        <v>4.9988000000000001</v>
      </c>
      <c r="G69" s="8">
        <f>CHOOSE( CONTROL!$C$32, 4.1699, 4.1676) * CHOOSE( CONTROL!$C$15, $D$11, 100%, $F$11)</f>
        <v>4.1699000000000002</v>
      </c>
      <c r="H69" s="4">
        <f>CHOOSE( CONTROL!$C$32, 5.1215, 5.1192) * CHOOSE(CONTROL!$C$15, $D$11, 100%, $F$11)</f>
        <v>5.1215000000000002</v>
      </c>
      <c r="I69" s="8">
        <f>CHOOSE( CONTROL!$C$32, 4.1999, 4.1977) * CHOOSE(CONTROL!$C$15, $D$11, 100%, $F$11)</f>
        <v>4.1999000000000004</v>
      </c>
      <c r="J69" s="4">
        <f>CHOOSE( CONTROL!$C$32, 4.0852, 4.083) * CHOOSE(CONTROL!$C$15, $D$11, 100%, $F$11)</f>
        <v>4.0852000000000004</v>
      </c>
      <c r="K69" s="4"/>
      <c r="L69" s="9">
        <v>30.7165</v>
      </c>
      <c r="M69" s="9">
        <v>12.063700000000001</v>
      </c>
      <c r="N69" s="9">
        <v>4.9444999999999997</v>
      </c>
      <c r="O69" s="9">
        <v>0.37409999999999999</v>
      </c>
      <c r="P69" s="9">
        <v>1.2183999999999999</v>
      </c>
      <c r="Q69" s="9">
        <v>24.651199999999999</v>
      </c>
      <c r="R69" s="9"/>
      <c r="S69" s="11"/>
    </row>
    <row r="70" spans="1:19" ht="15" customHeight="1">
      <c r="A70" s="13">
        <v>43617</v>
      </c>
      <c r="B70" s="8">
        <f>CHOOSE( CONTROL!$C$32, 4.2015, 4.1992) * CHOOSE(CONTROL!$C$15, $D$11, 100%, $F$11)</f>
        <v>4.2015000000000002</v>
      </c>
      <c r="C70" s="8">
        <f>CHOOSE( CONTROL!$C$32, 4.2121, 4.2098) * CHOOSE(CONTROL!$C$15, $D$11, 100%, $F$11)</f>
        <v>4.2121000000000004</v>
      </c>
      <c r="D70" s="8">
        <f>CHOOSE( CONTROL!$C$32, 4.2461, 4.2438) * CHOOSE( CONTROL!$C$15, $D$11, 100%, $F$11)</f>
        <v>4.2461000000000002</v>
      </c>
      <c r="E70" s="12">
        <f>CHOOSE( CONTROL!$C$32, 4.2322, 4.2299) * CHOOSE( CONTROL!$C$15, $D$11, 100%, $F$11)</f>
        <v>4.2321999999999997</v>
      </c>
      <c r="F70" s="4">
        <f>CHOOSE( CONTROL!$C$32, 4.9304, 4.9281) * CHOOSE(CONTROL!$C$15, $D$11, 100%, $F$11)</f>
        <v>4.9303999999999997</v>
      </c>
      <c r="G70" s="8">
        <f>CHOOSE( CONTROL!$C$32, 4.1033, 4.101) * CHOOSE( CONTROL!$C$15, $D$11, 100%, $F$11)</f>
        <v>4.1032999999999999</v>
      </c>
      <c r="H70" s="4">
        <f>CHOOSE( CONTROL!$C$32, 5.0546, 5.0524) * CHOOSE(CONTROL!$C$15, $D$11, 100%, $F$11)</f>
        <v>5.0545999999999998</v>
      </c>
      <c r="I70" s="8">
        <f>CHOOSE( CONTROL!$C$32, 4.135, 4.1328) * CHOOSE(CONTROL!$C$15, $D$11, 100%, $F$11)</f>
        <v>4.1349999999999998</v>
      </c>
      <c r="J70" s="4">
        <f>CHOOSE( CONTROL!$C$32, 4.0195, 4.0173) * CHOOSE(CONTROL!$C$15, $D$11, 100%, $F$11)</f>
        <v>4.0194999999999999</v>
      </c>
      <c r="K70" s="4"/>
      <c r="L70" s="9">
        <v>29.7257</v>
      </c>
      <c r="M70" s="9">
        <v>11.6745</v>
      </c>
      <c r="N70" s="9">
        <v>4.7850000000000001</v>
      </c>
      <c r="O70" s="9">
        <v>0.36199999999999999</v>
      </c>
      <c r="P70" s="9">
        <v>1.1791</v>
      </c>
      <c r="Q70" s="9">
        <v>23.856000000000002</v>
      </c>
      <c r="R70" s="9"/>
      <c r="S70" s="11"/>
    </row>
    <row r="71" spans="1:19" ht="15" customHeight="1">
      <c r="A71" s="13">
        <v>43647</v>
      </c>
      <c r="B71" s="8">
        <f>CHOOSE( CONTROL!$C$32, 4.3816, 4.3793) * CHOOSE(CONTROL!$C$15, $D$11, 100%, $F$11)</f>
        <v>4.3815999999999997</v>
      </c>
      <c r="C71" s="8">
        <f>CHOOSE( CONTROL!$C$32, 4.3921, 4.3898) * CHOOSE(CONTROL!$C$15, $D$11, 100%, $F$11)</f>
        <v>4.3921000000000001</v>
      </c>
      <c r="D71" s="8">
        <f>CHOOSE( CONTROL!$C$32, 4.4263, 4.424) * CHOOSE( CONTROL!$C$15, $D$11, 100%, $F$11)</f>
        <v>4.4263000000000003</v>
      </c>
      <c r="E71" s="12">
        <f>CHOOSE( CONTROL!$C$32, 4.4123, 4.41) * CHOOSE( CONTROL!$C$15, $D$11, 100%, $F$11)</f>
        <v>4.4123000000000001</v>
      </c>
      <c r="F71" s="4">
        <f>CHOOSE( CONTROL!$C$32, 5.1105, 5.1082) * CHOOSE(CONTROL!$C$15, $D$11, 100%, $F$11)</f>
        <v>5.1105</v>
      </c>
      <c r="G71" s="8">
        <f>CHOOSE( CONTROL!$C$32, 4.2796, 4.2774) * CHOOSE( CONTROL!$C$15, $D$11, 100%, $F$11)</f>
        <v>4.2796000000000003</v>
      </c>
      <c r="H71" s="4">
        <f>CHOOSE( CONTROL!$C$32, 5.2307, 5.2284) * CHOOSE(CONTROL!$C$15, $D$11, 100%, $F$11)</f>
        <v>5.2306999999999997</v>
      </c>
      <c r="I71" s="8">
        <f>CHOOSE( CONTROL!$C$32, 4.3089, 4.3067) * CHOOSE(CONTROL!$C$15, $D$11, 100%, $F$11)</f>
        <v>4.3089000000000004</v>
      </c>
      <c r="J71" s="4">
        <f>CHOOSE( CONTROL!$C$32, 4.1924, 4.1902) * CHOOSE(CONTROL!$C$15, $D$11, 100%, $F$11)</f>
        <v>4.1924000000000001</v>
      </c>
      <c r="K71" s="4"/>
      <c r="L71" s="9">
        <v>30.7165</v>
      </c>
      <c r="M71" s="9">
        <v>12.063700000000001</v>
      </c>
      <c r="N71" s="9">
        <v>4.9444999999999997</v>
      </c>
      <c r="O71" s="9">
        <v>0.37409999999999999</v>
      </c>
      <c r="P71" s="9">
        <v>1.2183999999999999</v>
      </c>
      <c r="Q71" s="9">
        <v>24.651199999999999</v>
      </c>
      <c r="R71" s="9"/>
      <c r="S71" s="11"/>
    </row>
    <row r="72" spans="1:19" ht="15" customHeight="1">
      <c r="A72" s="13">
        <v>43678</v>
      </c>
      <c r="B72" s="8">
        <f>CHOOSE( CONTROL!$C$32, 4.0447, 4.0424) * CHOOSE(CONTROL!$C$15, $D$11, 100%, $F$11)</f>
        <v>4.0446999999999997</v>
      </c>
      <c r="C72" s="8">
        <f>CHOOSE( CONTROL!$C$32, 4.0552, 4.0529) * CHOOSE(CONTROL!$C$15, $D$11, 100%, $F$11)</f>
        <v>4.0552000000000001</v>
      </c>
      <c r="D72" s="8">
        <f>CHOOSE( CONTROL!$C$32, 4.0895, 4.0872) * CHOOSE( CONTROL!$C$15, $D$11, 100%, $F$11)</f>
        <v>4.0895000000000001</v>
      </c>
      <c r="E72" s="12">
        <f>CHOOSE( CONTROL!$C$32, 4.0755, 4.0732) * CHOOSE( CONTROL!$C$15, $D$11, 100%, $F$11)</f>
        <v>4.0754999999999999</v>
      </c>
      <c r="F72" s="4">
        <f>CHOOSE( CONTROL!$C$32, 4.7736, 4.7713) * CHOOSE(CONTROL!$C$15, $D$11, 100%, $F$11)</f>
        <v>4.7736000000000001</v>
      </c>
      <c r="G72" s="8">
        <f>CHOOSE( CONTROL!$C$32, 3.9504, 3.9481) * CHOOSE( CONTROL!$C$15, $D$11, 100%, $F$11)</f>
        <v>3.9504000000000001</v>
      </c>
      <c r="H72" s="4">
        <f>CHOOSE( CONTROL!$C$32, 4.9013, 4.899) * CHOOSE(CONTROL!$C$15, $D$11, 100%, $F$11)</f>
        <v>4.9013</v>
      </c>
      <c r="I72" s="8">
        <f>CHOOSE( CONTROL!$C$32, 3.9856, 3.9834) * CHOOSE(CONTROL!$C$15, $D$11, 100%, $F$11)</f>
        <v>3.9855999999999998</v>
      </c>
      <c r="J72" s="4">
        <f>CHOOSE( CONTROL!$C$32, 3.8689, 3.8667) * CHOOSE(CONTROL!$C$15, $D$11, 100%, $F$11)</f>
        <v>3.8689</v>
      </c>
      <c r="K72" s="4"/>
      <c r="L72" s="9">
        <v>30.7165</v>
      </c>
      <c r="M72" s="9">
        <v>12.063700000000001</v>
      </c>
      <c r="N72" s="9">
        <v>4.9444999999999997</v>
      </c>
      <c r="O72" s="9">
        <v>0.37409999999999999</v>
      </c>
      <c r="P72" s="9">
        <v>1.2183999999999999</v>
      </c>
      <c r="Q72" s="9">
        <v>24.651199999999999</v>
      </c>
      <c r="R72" s="9"/>
      <c r="S72" s="11"/>
    </row>
    <row r="73" spans="1:19" ht="15" customHeight="1">
      <c r="A73" s="13">
        <v>43709</v>
      </c>
      <c r="B73" s="8">
        <f>CHOOSE( CONTROL!$C$32, 3.9603, 3.958) * CHOOSE(CONTROL!$C$15, $D$11, 100%, $F$11)</f>
        <v>3.9603000000000002</v>
      </c>
      <c r="C73" s="8">
        <f>CHOOSE( CONTROL!$C$32, 3.9709, 3.9686) * CHOOSE(CONTROL!$C$15, $D$11, 100%, $F$11)</f>
        <v>3.9708999999999999</v>
      </c>
      <c r="D73" s="8">
        <f>CHOOSE( CONTROL!$C$32, 4.0051, 4.0028) * CHOOSE( CONTROL!$C$15, $D$11, 100%, $F$11)</f>
        <v>4.0050999999999997</v>
      </c>
      <c r="E73" s="12">
        <f>CHOOSE( CONTROL!$C$32, 3.9911, 3.9888) * CHOOSE( CONTROL!$C$15, $D$11, 100%, $F$11)</f>
        <v>3.9910999999999999</v>
      </c>
      <c r="F73" s="4">
        <f>CHOOSE( CONTROL!$C$32, 4.6892, 4.6869) * CHOOSE(CONTROL!$C$15, $D$11, 100%, $F$11)</f>
        <v>4.6891999999999996</v>
      </c>
      <c r="G73" s="8">
        <f>CHOOSE( CONTROL!$C$32, 3.8678, 3.8656) * CHOOSE( CONTROL!$C$15, $D$11, 100%, $F$11)</f>
        <v>3.8677999999999999</v>
      </c>
      <c r="H73" s="4">
        <f>CHOOSE( CONTROL!$C$32, 4.8188, 4.8165) * CHOOSE(CONTROL!$C$15, $D$11, 100%, $F$11)</f>
        <v>4.8188000000000004</v>
      </c>
      <c r="I73" s="8">
        <f>CHOOSE( CONTROL!$C$32, 3.9044, 3.9022) * CHOOSE(CONTROL!$C$15, $D$11, 100%, $F$11)</f>
        <v>3.9043999999999999</v>
      </c>
      <c r="J73" s="4">
        <f>CHOOSE( CONTROL!$C$32, 3.788, 3.7857) * CHOOSE(CONTROL!$C$15, $D$11, 100%, $F$11)</f>
        <v>3.7879999999999998</v>
      </c>
      <c r="K73" s="4"/>
      <c r="L73" s="9">
        <v>29.7257</v>
      </c>
      <c r="M73" s="9">
        <v>11.6745</v>
      </c>
      <c r="N73" s="9">
        <v>4.7850000000000001</v>
      </c>
      <c r="O73" s="9">
        <v>0.36199999999999999</v>
      </c>
      <c r="P73" s="9">
        <v>1.1791</v>
      </c>
      <c r="Q73" s="9">
        <v>23.856000000000002</v>
      </c>
      <c r="R73" s="9"/>
      <c r="S73" s="11"/>
    </row>
    <row r="74" spans="1:19" ht="15" customHeight="1">
      <c r="A74" s="13">
        <v>43739</v>
      </c>
      <c r="B74" s="8">
        <f>4.1333 * CHOOSE(CONTROL!$C$15, $D$11, 100%, $F$11)</f>
        <v>4.1333000000000002</v>
      </c>
      <c r="C74" s="8">
        <f>4.144 * CHOOSE(CONTROL!$C$15, $D$11, 100%, $F$11)</f>
        <v>4.1440000000000001</v>
      </c>
      <c r="D74" s="8">
        <f>4.1794 * CHOOSE( CONTROL!$C$15, $D$11, 100%, $F$11)</f>
        <v>4.1794000000000002</v>
      </c>
      <c r="E74" s="12">
        <f>4.1666 * CHOOSE( CONTROL!$C$15, $D$11, 100%, $F$11)</f>
        <v>4.1665999999999999</v>
      </c>
      <c r="F74" s="4">
        <f>4.8621 * CHOOSE(CONTROL!$C$15, $D$11, 100%, $F$11)</f>
        <v>4.8620999999999999</v>
      </c>
      <c r="G74" s="8">
        <f>4.0367 * CHOOSE( CONTROL!$C$15, $D$11, 100%, $F$11)</f>
        <v>4.0366999999999997</v>
      </c>
      <c r="H74" s="4">
        <f>4.9878 * CHOOSE(CONTROL!$C$15, $D$11, 100%, $F$11)</f>
        <v>4.9878</v>
      </c>
      <c r="I74" s="8">
        <f>4.0714 * CHOOSE(CONTROL!$C$15, $D$11, 100%, $F$11)</f>
        <v>4.0713999999999997</v>
      </c>
      <c r="J74" s="4">
        <f>3.9539 * CHOOSE(CONTROL!$C$15, $D$11, 100%, $F$11)</f>
        <v>3.9539</v>
      </c>
      <c r="K74" s="4"/>
      <c r="L74" s="9">
        <v>31.095300000000002</v>
      </c>
      <c r="M74" s="9">
        <v>12.063700000000001</v>
      </c>
      <c r="N74" s="9">
        <v>4.9444999999999997</v>
      </c>
      <c r="O74" s="9">
        <v>0.37409999999999999</v>
      </c>
      <c r="P74" s="9">
        <v>1.2183999999999999</v>
      </c>
      <c r="Q74" s="9">
        <v>24.651199999999999</v>
      </c>
      <c r="R74" s="9"/>
      <c r="S74" s="11"/>
    </row>
    <row r="75" spans="1:19" ht="15" customHeight="1">
      <c r="A75" s="13">
        <v>43770</v>
      </c>
      <c r="B75" s="8">
        <f>4.4566 * CHOOSE(CONTROL!$C$15, $D$11, 100%, $F$11)</f>
        <v>4.4565999999999999</v>
      </c>
      <c r="C75" s="8">
        <f>4.4674 * CHOOSE(CONTROL!$C$15, $D$11, 100%, $F$11)</f>
        <v>4.4673999999999996</v>
      </c>
      <c r="D75" s="8">
        <f>4.4434 * CHOOSE( CONTROL!$C$15, $D$11, 100%, $F$11)</f>
        <v>4.4433999999999996</v>
      </c>
      <c r="E75" s="12">
        <f>4.451 * CHOOSE( CONTROL!$C$15, $D$11, 100%, $F$11)</f>
        <v>4.4509999999999996</v>
      </c>
      <c r="F75" s="4">
        <f>5.1177 * CHOOSE(CONTROL!$C$15, $D$11, 100%, $F$11)</f>
        <v>5.1177000000000001</v>
      </c>
      <c r="G75" s="8">
        <f>4.3527 * CHOOSE( CONTROL!$C$15, $D$11, 100%, $F$11)</f>
        <v>4.3526999999999996</v>
      </c>
      <c r="H75" s="4">
        <f>5.2377 * CHOOSE(CONTROL!$C$15, $D$11, 100%, $F$11)</f>
        <v>5.2377000000000002</v>
      </c>
      <c r="I75" s="8">
        <f>4.4253 * CHOOSE(CONTROL!$C$15, $D$11, 100%, $F$11)</f>
        <v>4.4253</v>
      </c>
      <c r="J75" s="4">
        <f>4.2643 * CHOOSE(CONTROL!$C$15, $D$11, 100%, $F$11)</f>
        <v>4.2643000000000004</v>
      </c>
      <c r="K75" s="4"/>
      <c r="L75" s="9">
        <v>28.360600000000002</v>
      </c>
      <c r="M75" s="9">
        <v>11.6745</v>
      </c>
      <c r="N75" s="9">
        <v>4.7850000000000001</v>
      </c>
      <c r="O75" s="9">
        <v>0.36199999999999999</v>
      </c>
      <c r="P75" s="9">
        <v>1.2509999999999999</v>
      </c>
      <c r="Q75" s="9">
        <v>23.856000000000002</v>
      </c>
      <c r="R75" s="9"/>
      <c r="S75" s="11"/>
    </row>
    <row r="76" spans="1:19" ht="15.75">
      <c r="A76" s="13">
        <v>43800</v>
      </c>
      <c r="B76" s="8">
        <f>4.4485 * CHOOSE(CONTROL!$C$15, $D$11, 100%, $F$11)</f>
        <v>4.4485000000000001</v>
      </c>
      <c r="C76" s="8">
        <f>4.4593 * CHOOSE(CONTROL!$C$15, $D$11, 100%, $F$11)</f>
        <v>4.4592999999999998</v>
      </c>
      <c r="D76" s="8">
        <f>4.437 * CHOOSE( CONTROL!$C$15, $D$11, 100%, $F$11)</f>
        <v>4.4370000000000003</v>
      </c>
      <c r="E76" s="12">
        <f>4.444 * CHOOSE( CONTROL!$C$15, $D$11, 100%, $F$11)</f>
        <v>4.444</v>
      </c>
      <c r="F76" s="4">
        <f>5.1096 * CHOOSE(CONTROL!$C$15, $D$11, 100%, $F$11)</f>
        <v>5.1096000000000004</v>
      </c>
      <c r="G76" s="8">
        <f>4.3461 * CHOOSE( CONTROL!$C$15, $D$11, 100%, $F$11)</f>
        <v>4.3460999999999999</v>
      </c>
      <c r="H76" s="4">
        <f>5.2298 * CHOOSE(CONTROL!$C$15, $D$11, 100%, $F$11)</f>
        <v>5.2298</v>
      </c>
      <c r="I76" s="8">
        <f>4.4227 * CHOOSE(CONTROL!$C$15, $D$11, 100%, $F$11)</f>
        <v>4.4226999999999999</v>
      </c>
      <c r="J76" s="4">
        <f>4.2566 * CHOOSE(CONTROL!$C$15, $D$11, 100%, $F$11)</f>
        <v>4.2565999999999997</v>
      </c>
      <c r="K76" s="4"/>
      <c r="L76" s="9">
        <v>29.306000000000001</v>
      </c>
      <c r="M76" s="9">
        <v>12.063700000000001</v>
      </c>
      <c r="N76" s="9">
        <v>4.9444999999999997</v>
      </c>
      <c r="O76" s="9">
        <v>0.37409999999999999</v>
      </c>
      <c r="P76" s="9">
        <v>1.2927</v>
      </c>
      <c r="Q76" s="9">
        <v>24.651199999999999</v>
      </c>
      <c r="R76" s="9"/>
      <c r="S76" s="11"/>
    </row>
    <row r="77" spans="1:19" ht="15.75">
      <c r="A77" s="13">
        <v>43831</v>
      </c>
      <c r="B77" s="8">
        <f>5.5181 * CHOOSE(CONTROL!$C$15, $D$11, 100%, $F$11)</f>
        <v>5.5180999999999996</v>
      </c>
      <c r="C77" s="8">
        <f>5.5289 * CHOOSE(CONTROL!$C$15, $D$11, 100%, $F$11)</f>
        <v>5.5289000000000001</v>
      </c>
      <c r="D77" s="8">
        <f>5.5105 * CHOOSE( CONTROL!$C$15, $D$11, 100%, $F$11)</f>
        <v>5.5105000000000004</v>
      </c>
      <c r="E77" s="12">
        <f>5.5161 * CHOOSE( CONTROL!$C$15, $D$11, 100%, $F$11)</f>
        <v>5.5160999999999998</v>
      </c>
      <c r="F77" s="4">
        <f>6.1792 * CHOOSE(CONTROL!$C$15, $D$11, 100%, $F$11)</f>
        <v>6.1791999999999998</v>
      </c>
      <c r="G77" s="8">
        <f>5.3874 * CHOOSE( CONTROL!$C$15, $D$11, 100%, $F$11)</f>
        <v>5.3874000000000004</v>
      </c>
      <c r="H77" s="4">
        <f>6.2756 * CHOOSE(CONTROL!$C$15, $D$11, 100%, $F$11)</f>
        <v>6.2755999999999998</v>
      </c>
      <c r="I77" s="8">
        <f>5.4055 * CHOOSE(CONTROL!$C$15, $D$11, 100%, $F$11)</f>
        <v>5.4055</v>
      </c>
      <c r="J77" s="4">
        <f>5.2835 * CHOOSE(CONTROL!$C$15, $D$11, 100%, $F$11)</f>
        <v>5.2835000000000001</v>
      </c>
      <c r="K77" s="4"/>
      <c r="L77" s="9">
        <v>29.306000000000001</v>
      </c>
      <c r="M77" s="9">
        <v>12.063700000000001</v>
      </c>
      <c r="N77" s="9">
        <v>4.9444999999999997</v>
      </c>
      <c r="O77" s="9">
        <v>0.37409999999999999</v>
      </c>
      <c r="P77" s="9">
        <v>1.2927</v>
      </c>
      <c r="Q77" s="9">
        <v>22.150099999999998</v>
      </c>
      <c r="R77" s="9"/>
      <c r="S77" s="11"/>
    </row>
    <row r="78" spans="1:19" ht="15.75">
      <c r="A78" s="13">
        <v>43862</v>
      </c>
      <c r="B78" s="8">
        <f>5.1624 * CHOOSE(CONTROL!$C$15, $D$11, 100%, $F$11)</f>
        <v>5.1623999999999999</v>
      </c>
      <c r="C78" s="8">
        <f>5.1731 * CHOOSE(CONTROL!$C$15, $D$11, 100%, $F$11)</f>
        <v>5.1730999999999998</v>
      </c>
      <c r="D78" s="8">
        <f>5.1546 * CHOOSE( CONTROL!$C$15, $D$11, 100%, $F$11)</f>
        <v>5.1546000000000003</v>
      </c>
      <c r="E78" s="12">
        <f>5.1602 * CHOOSE( CONTROL!$C$15, $D$11, 100%, $F$11)</f>
        <v>5.1601999999999997</v>
      </c>
      <c r="F78" s="4">
        <f>5.8235 * CHOOSE(CONTROL!$C$15, $D$11, 100%, $F$11)</f>
        <v>5.8235000000000001</v>
      </c>
      <c r="G78" s="8">
        <f>5.0395 * CHOOSE( CONTROL!$C$15, $D$11, 100%, $F$11)</f>
        <v>5.0395000000000003</v>
      </c>
      <c r="H78" s="4">
        <f>5.9277 * CHOOSE(CONTROL!$C$15, $D$11, 100%, $F$11)</f>
        <v>5.9276999999999997</v>
      </c>
      <c r="I78" s="8">
        <f>5.0633 * CHOOSE(CONTROL!$C$15, $D$11, 100%, $F$11)</f>
        <v>5.0632999999999999</v>
      </c>
      <c r="J78" s="4">
        <f>4.9419 * CHOOSE(CONTROL!$C$15, $D$11, 100%, $F$11)</f>
        <v>4.9419000000000004</v>
      </c>
      <c r="K78" s="4"/>
      <c r="L78" s="9">
        <v>27.415299999999998</v>
      </c>
      <c r="M78" s="9">
        <v>11.285299999999999</v>
      </c>
      <c r="N78" s="9">
        <v>4.6254999999999997</v>
      </c>
      <c r="O78" s="9">
        <v>0.34989999999999999</v>
      </c>
      <c r="P78" s="9">
        <v>1.2093</v>
      </c>
      <c r="Q78" s="9">
        <v>20.7211</v>
      </c>
      <c r="R78" s="9"/>
      <c r="S78" s="11"/>
    </row>
    <row r="79" spans="1:19" ht="15.75">
      <c r="A79" s="13">
        <v>43891</v>
      </c>
      <c r="B79" s="8">
        <f>5.0528 * CHOOSE(CONTROL!$C$15, $D$11, 100%, $F$11)</f>
        <v>5.0528000000000004</v>
      </c>
      <c r="C79" s="8">
        <f>5.0636 * CHOOSE(CONTROL!$C$15, $D$11, 100%, $F$11)</f>
        <v>5.0636000000000001</v>
      </c>
      <c r="D79" s="8">
        <f>5.0445 * CHOOSE( CONTROL!$C$15, $D$11, 100%, $F$11)</f>
        <v>5.0445000000000002</v>
      </c>
      <c r="E79" s="12">
        <f>5.0503 * CHOOSE( CONTROL!$C$15, $D$11, 100%, $F$11)</f>
        <v>5.0503</v>
      </c>
      <c r="F79" s="4">
        <f>5.7139 * CHOOSE(CONTROL!$C$15, $D$11, 100%, $F$11)</f>
        <v>5.7138999999999998</v>
      </c>
      <c r="G79" s="8">
        <f>4.932 * CHOOSE( CONTROL!$C$15, $D$11, 100%, $F$11)</f>
        <v>4.9320000000000004</v>
      </c>
      <c r="H79" s="4">
        <f>5.8206 * CHOOSE(CONTROL!$C$15, $D$11, 100%, $F$11)</f>
        <v>5.8205999999999998</v>
      </c>
      <c r="I79" s="8">
        <f>4.9565 * CHOOSE(CONTROL!$C$15, $D$11, 100%, $F$11)</f>
        <v>4.9565000000000001</v>
      </c>
      <c r="J79" s="4">
        <f>4.8367 * CHOOSE(CONTROL!$C$15, $D$11, 100%, $F$11)</f>
        <v>4.8367000000000004</v>
      </c>
      <c r="K79" s="4"/>
      <c r="L79" s="9">
        <v>29.306000000000001</v>
      </c>
      <c r="M79" s="9">
        <v>12.063700000000001</v>
      </c>
      <c r="N79" s="9">
        <v>4.9444999999999997</v>
      </c>
      <c r="O79" s="9">
        <v>0.37409999999999999</v>
      </c>
      <c r="P79" s="9">
        <v>1.2927</v>
      </c>
      <c r="Q79" s="9">
        <v>22.150099999999998</v>
      </c>
      <c r="R79" s="9"/>
      <c r="S79" s="11"/>
    </row>
    <row r="80" spans="1:19" ht="15.75">
      <c r="A80" s="13">
        <v>43922</v>
      </c>
      <c r="B80" s="8">
        <f>5.1293 * CHOOSE(CONTROL!$C$15, $D$11, 100%, $F$11)</f>
        <v>5.1292999999999997</v>
      </c>
      <c r="C80" s="8">
        <f>5.1401 * CHOOSE(CONTROL!$C$15, $D$11, 100%, $F$11)</f>
        <v>5.1401000000000003</v>
      </c>
      <c r="D80" s="8">
        <f>5.1749 * CHOOSE( CONTROL!$C$15, $D$11, 100%, $F$11)</f>
        <v>5.1749000000000001</v>
      </c>
      <c r="E80" s="12">
        <f>5.1622 * CHOOSE( CONTROL!$C$15, $D$11, 100%, $F$11)</f>
        <v>5.1622000000000003</v>
      </c>
      <c r="F80" s="4">
        <f>5.8582 * CHOOSE(CONTROL!$C$15, $D$11, 100%, $F$11)</f>
        <v>5.8582000000000001</v>
      </c>
      <c r="G80" s="8">
        <f>5.0096 * CHOOSE( CONTROL!$C$15, $D$11, 100%, $F$11)</f>
        <v>5.0095999999999998</v>
      </c>
      <c r="H80" s="4">
        <f>5.9617 * CHOOSE(CONTROL!$C$15, $D$11, 100%, $F$11)</f>
        <v>5.9617000000000004</v>
      </c>
      <c r="I80" s="8">
        <f>5.0253 * CHOOSE(CONTROL!$C$15, $D$11, 100%, $F$11)</f>
        <v>5.0252999999999997</v>
      </c>
      <c r="J80" s="4">
        <f>4.9102 * CHOOSE(CONTROL!$C$15, $D$11, 100%, $F$11)</f>
        <v>4.9101999999999997</v>
      </c>
      <c r="K80" s="4"/>
      <c r="L80" s="9">
        <v>30.092199999999998</v>
      </c>
      <c r="M80" s="9">
        <v>11.6745</v>
      </c>
      <c r="N80" s="9">
        <v>4.7850000000000001</v>
      </c>
      <c r="O80" s="9">
        <v>0.36199999999999999</v>
      </c>
      <c r="P80" s="9">
        <v>1.1791</v>
      </c>
      <c r="Q80" s="9">
        <v>21.435600000000001</v>
      </c>
      <c r="R80" s="9"/>
      <c r="S80" s="11"/>
    </row>
    <row r="81" spans="1:19" ht="15.75">
      <c r="A81" s="13">
        <v>43952</v>
      </c>
      <c r="B81" s="8">
        <f>CHOOSE( CONTROL!$C$32, 5.2678, 5.2655) * CHOOSE(CONTROL!$C$15, $D$11, 100%, $F$11)</f>
        <v>5.2678000000000003</v>
      </c>
      <c r="C81" s="8">
        <f>CHOOSE( CONTROL!$C$32, 5.2784, 5.2761) * CHOOSE(CONTROL!$C$15, $D$11, 100%, $F$11)</f>
        <v>5.2784000000000004</v>
      </c>
      <c r="D81" s="8">
        <f>CHOOSE( CONTROL!$C$32, 5.3122, 5.3099) * CHOOSE( CONTROL!$C$15, $D$11, 100%, $F$11)</f>
        <v>5.3121999999999998</v>
      </c>
      <c r="E81" s="12">
        <f>CHOOSE( CONTROL!$C$32, 5.2983, 5.296) * CHOOSE( CONTROL!$C$15, $D$11, 100%, $F$11)</f>
        <v>5.2983000000000002</v>
      </c>
      <c r="F81" s="4">
        <f>CHOOSE( CONTROL!$C$32, 5.9967, 5.9944) * CHOOSE(CONTROL!$C$15, $D$11, 100%, $F$11)</f>
        <v>5.9966999999999997</v>
      </c>
      <c r="G81" s="8">
        <f>CHOOSE( CONTROL!$C$32, 5.1456, 5.1433) * CHOOSE( CONTROL!$C$15, $D$11, 100%, $F$11)</f>
        <v>5.1456</v>
      </c>
      <c r="H81" s="4">
        <f>CHOOSE( CONTROL!$C$32, 6.0971, 6.0949) * CHOOSE(CONTROL!$C$15, $D$11, 100%, $F$11)</f>
        <v>6.0971000000000002</v>
      </c>
      <c r="I81" s="8">
        <f>CHOOSE( CONTROL!$C$32, 5.1585, 5.1563) * CHOOSE(CONTROL!$C$15, $D$11, 100%, $F$11)</f>
        <v>5.1585000000000001</v>
      </c>
      <c r="J81" s="4">
        <f>CHOOSE( CONTROL!$C$32, 5.0433, 5.0411) * CHOOSE(CONTROL!$C$15, $D$11, 100%, $F$11)</f>
        <v>5.0433000000000003</v>
      </c>
      <c r="K81" s="4"/>
      <c r="L81" s="9">
        <v>30.7165</v>
      </c>
      <c r="M81" s="9">
        <v>12.063700000000001</v>
      </c>
      <c r="N81" s="9">
        <v>4.9444999999999997</v>
      </c>
      <c r="O81" s="9">
        <v>0.37409999999999999</v>
      </c>
      <c r="P81" s="9">
        <v>1.2183999999999999</v>
      </c>
      <c r="Q81" s="9">
        <v>33.225200000000001</v>
      </c>
      <c r="R81" s="9"/>
      <c r="S81" s="11"/>
    </row>
    <row r="82" spans="1:19" ht="15.75">
      <c r="A82" s="13">
        <v>43983</v>
      </c>
      <c r="B82" s="8">
        <f>CHOOSE( CONTROL!$C$32, 5.1834, 5.1811) * CHOOSE(CONTROL!$C$15, $D$11, 100%, $F$11)</f>
        <v>5.1833999999999998</v>
      </c>
      <c r="C82" s="8">
        <f>CHOOSE( CONTROL!$C$32, 5.194, 5.1917) * CHOOSE(CONTROL!$C$15, $D$11, 100%, $F$11)</f>
        <v>5.194</v>
      </c>
      <c r="D82" s="8">
        <f>CHOOSE( CONTROL!$C$32, 5.2279, 5.2256) * CHOOSE( CONTROL!$C$15, $D$11, 100%, $F$11)</f>
        <v>5.2279</v>
      </c>
      <c r="E82" s="12">
        <f>CHOOSE( CONTROL!$C$32, 5.214, 5.2117) * CHOOSE( CONTROL!$C$15, $D$11, 100%, $F$11)</f>
        <v>5.2140000000000004</v>
      </c>
      <c r="F82" s="4">
        <f>CHOOSE( CONTROL!$C$32, 5.9123, 5.91) * CHOOSE(CONTROL!$C$15, $D$11, 100%, $F$11)</f>
        <v>5.9123000000000001</v>
      </c>
      <c r="G82" s="8">
        <f>CHOOSE( CONTROL!$C$32, 5.0633, 5.061) * CHOOSE( CONTROL!$C$15, $D$11, 100%, $F$11)</f>
        <v>5.0632999999999999</v>
      </c>
      <c r="H82" s="4">
        <f>CHOOSE( CONTROL!$C$32, 6.0146, 6.0124) * CHOOSE(CONTROL!$C$15, $D$11, 100%, $F$11)</f>
        <v>6.0145999999999997</v>
      </c>
      <c r="I82" s="8">
        <f>CHOOSE( CONTROL!$C$32, 5.0782, 5.0759) * CHOOSE(CONTROL!$C$15, $D$11, 100%, $F$11)</f>
        <v>5.0781999999999998</v>
      </c>
      <c r="J82" s="4">
        <f>CHOOSE( CONTROL!$C$32, 4.9622, 4.96) * CHOOSE(CONTROL!$C$15, $D$11, 100%, $F$11)</f>
        <v>4.9622000000000002</v>
      </c>
      <c r="K82" s="4"/>
      <c r="L82" s="9">
        <v>29.7257</v>
      </c>
      <c r="M82" s="9">
        <v>11.6745</v>
      </c>
      <c r="N82" s="9">
        <v>4.7850000000000001</v>
      </c>
      <c r="O82" s="9">
        <v>0.36199999999999999</v>
      </c>
      <c r="P82" s="9">
        <v>1.1791</v>
      </c>
      <c r="Q82" s="9">
        <v>32.153399999999998</v>
      </c>
      <c r="R82" s="9"/>
      <c r="S82" s="11"/>
    </row>
    <row r="83" spans="1:19" ht="15.75">
      <c r="A83" s="13">
        <v>44013</v>
      </c>
      <c r="B83" s="8">
        <f>CHOOSE( CONTROL!$C$32, 5.4057, 5.4034) * CHOOSE(CONTROL!$C$15, $D$11, 100%, $F$11)</f>
        <v>5.4057000000000004</v>
      </c>
      <c r="C83" s="8">
        <f>CHOOSE( CONTROL!$C$32, 5.4163, 5.414) * CHOOSE(CONTROL!$C$15, $D$11, 100%, $F$11)</f>
        <v>5.4162999999999997</v>
      </c>
      <c r="D83" s="8">
        <f>CHOOSE( CONTROL!$C$32, 5.4505, 5.4482) * CHOOSE( CONTROL!$C$15, $D$11, 100%, $F$11)</f>
        <v>5.4504999999999999</v>
      </c>
      <c r="E83" s="12">
        <f>CHOOSE( CONTROL!$C$32, 5.4365, 5.4342) * CHOOSE( CONTROL!$C$15, $D$11, 100%, $F$11)</f>
        <v>5.4364999999999997</v>
      </c>
      <c r="F83" s="4">
        <f>CHOOSE( CONTROL!$C$32, 6.1346, 6.1323) * CHOOSE(CONTROL!$C$15, $D$11, 100%, $F$11)</f>
        <v>6.1345999999999998</v>
      </c>
      <c r="G83" s="8">
        <f>CHOOSE( CONTROL!$C$32, 5.2809, 5.2787) * CHOOSE( CONTROL!$C$15, $D$11, 100%, $F$11)</f>
        <v>5.2808999999999999</v>
      </c>
      <c r="H83" s="4">
        <f>CHOOSE( CONTROL!$C$32, 6.232, 6.2297) * CHOOSE(CONTROL!$C$15, $D$11, 100%, $F$11)</f>
        <v>6.2320000000000002</v>
      </c>
      <c r="I83" s="8">
        <f>CHOOSE( CONTROL!$C$32, 5.2927, 5.2905) * CHOOSE(CONTROL!$C$15, $D$11, 100%, $F$11)</f>
        <v>5.2927</v>
      </c>
      <c r="J83" s="4">
        <f>CHOOSE( CONTROL!$C$32, 5.1757, 5.1735) * CHOOSE(CONTROL!$C$15, $D$11, 100%, $F$11)</f>
        <v>5.1757</v>
      </c>
      <c r="K83" s="4"/>
      <c r="L83" s="9">
        <v>30.7165</v>
      </c>
      <c r="M83" s="9">
        <v>12.063700000000001</v>
      </c>
      <c r="N83" s="9">
        <v>4.9444999999999997</v>
      </c>
      <c r="O83" s="9">
        <v>0.37409999999999999</v>
      </c>
      <c r="P83" s="9">
        <v>1.2183999999999999</v>
      </c>
      <c r="Q83" s="9">
        <v>33.225200000000001</v>
      </c>
      <c r="R83" s="9"/>
      <c r="S83" s="11"/>
    </row>
    <row r="84" spans="1:19" ht="15.75">
      <c r="A84" s="13">
        <v>44044</v>
      </c>
      <c r="B84" s="8">
        <f>CHOOSE( CONTROL!$C$32, 4.9897, 4.9874) * CHOOSE(CONTROL!$C$15, $D$11, 100%, $F$11)</f>
        <v>4.9897</v>
      </c>
      <c r="C84" s="8">
        <f>CHOOSE( CONTROL!$C$32, 5.0003, 4.998) * CHOOSE(CONTROL!$C$15, $D$11, 100%, $F$11)</f>
        <v>5.0003000000000002</v>
      </c>
      <c r="D84" s="8">
        <f>CHOOSE( CONTROL!$C$32, 5.0346, 5.0323) * CHOOSE( CONTROL!$C$15, $D$11, 100%, $F$11)</f>
        <v>5.0346000000000002</v>
      </c>
      <c r="E84" s="12">
        <f>CHOOSE( CONTROL!$C$32, 5.0206, 5.0183) * CHOOSE( CONTROL!$C$15, $D$11, 100%, $F$11)</f>
        <v>5.0206</v>
      </c>
      <c r="F84" s="4">
        <f>CHOOSE( CONTROL!$C$32, 5.7187, 5.7164) * CHOOSE(CONTROL!$C$15, $D$11, 100%, $F$11)</f>
        <v>5.7187000000000001</v>
      </c>
      <c r="G84" s="8">
        <f>CHOOSE( CONTROL!$C$32, 4.8744, 4.8721) * CHOOSE( CONTROL!$C$15, $D$11, 100%, $F$11)</f>
        <v>4.8743999999999996</v>
      </c>
      <c r="H84" s="4">
        <f>CHOOSE( CONTROL!$C$32, 5.8253, 5.823) * CHOOSE(CONTROL!$C$15, $D$11, 100%, $F$11)</f>
        <v>5.8253000000000004</v>
      </c>
      <c r="I84" s="8">
        <f>CHOOSE( CONTROL!$C$32, 4.8934, 4.8912) * CHOOSE(CONTROL!$C$15, $D$11, 100%, $F$11)</f>
        <v>4.8933999999999997</v>
      </c>
      <c r="J84" s="4">
        <f>CHOOSE( CONTROL!$C$32, 4.7763, 4.7741) * CHOOSE(CONTROL!$C$15, $D$11, 100%, $F$11)</f>
        <v>4.7763</v>
      </c>
      <c r="K84" s="4"/>
      <c r="L84" s="9">
        <v>30.7165</v>
      </c>
      <c r="M84" s="9">
        <v>12.063700000000001</v>
      </c>
      <c r="N84" s="9">
        <v>4.9444999999999997</v>
      </c>
      <c r="O84" s="9">
        <v>0.37409999999999999</v>
      </c>
      <c r="P84" s="9">
        <v>1.2183999999999999</v>
      </c>
      <c r="Q84" s="9">
        <v>33.225200000000001</v>
      </c>
      <c r="R84" s="9"/>
      <c r="S84" s="11"/>
    </row>
    <row r="85" spans="1:19" ht="15.75">
      <c r="A85" s="13">
        <v>44075</v>
      </c>
      <c r="B85" s="8">
        <f>CHOOSE( CONTROL!$C$32, 4.8856, 4.8833) * CHOOSE(CONTROL!$C$15, $D$11, 100%, $F$11)</f>
        <v>4.8856000000000002</v>
      </c>
      <c r="C85" s="8">
        <f>CHOOSE( CONTROL!$C$32, 4.8961, 4.8938) * CHOOSE(CONTROL!$C$15, $D$11, 100%, $F$11)</f>
        <v>4.8960999999999997</v>
      </c>
      <c r="D85" s="8">
        <f>CHOOSE( CONTROL!$C$32, 4.9304, 4.9281) * CHOOSE( CONTROL!$C$15, $D$11, 100%, $F$11)</f>
        <v>4.9303999999999997</v>
      </c>
      <c r="E85" s="12">
        <f>CHOOSE( CONTROL!$C$32, 4.9164, 4.9141) * CHOOSE( CONTROL!$C$15, $D$11, 100%, $F$11)</f>
        <v>4.9164000000000003</v>
      </c>
      <c r="F85" s="4">
        <f>CHOOSE( CONTROL!$C$32, 5.6145, 5.6122) * CHOOSE(CONTROL!$C$15, $D$11, 100%, $F$11)</f>
        <v>5.6144999999999996</v>
      </c>
      <c r="G85" s="8">
        <f>CHOOSE( CONTROL!$C$32, 4.7725, 4.7702) * CHOOSE( CONTROL!$C$15, $D$11, 100%, $F$11)</f>
        <v>4.7725</v>
      </c>
      <c r="H85" s="4">
        <f>CHOOSE( CONTROL!$C$32, 5.7234, 5.7212) * CHOOSE(CONTROL!$C$15, $D$11, 100%, $F$11)</f>
        <v>5.7233999999999998</v>
      </c>
      <c r="I85" s="8">
        <f>CHOOSE( CONTROL!$C$32, 4.7932, 4.791) * CHOOSE(CONTROL!$C$15, $D$11, 100%, $F$11)</f>
        <v>4.7931999999999997</v>
      </c>
      <c r="J85" s="4">
        <f>CHOOSE( CONTROL!$C$32, 4.6763, 4.6741) * CHOOSE(CONTROL!$C$15, $D$11, 100%, $F$11)</f>
        <v>4.6763000000000003</v>
      </c>
      <c r="K85" s="4"/>
      <c r="L85" s="9">
        <v>29.7257</v>
      </c>
      <c r="M85" s="9">
        <v>11.6745</v>
      </c>
      <c r="N85" s="9">
        <v>4.7850000000000001</v>
      </c>
      <c r="O85" s="9">
        <v>0.36199999999999999</v>
      </c>
      <c r="P85" s="9">
        <v>1.1791</v>
      </c>
      <c r="Q85" s="9">
        <v>32.153399999999998</v>
      </c>
      <c r="R85" s="9"/>
      <c r="S85" s="11"/>
    </row>
    <row r="86" spans="1:19" ht="15.75">
      <c r="A86" s="13">
        <v>44105</v>
      </c>
      <c r="B86" s="8">
        <f>5.0997 * CHOOSE(CONTROL!$C$15, $D$11, 100%, $F$11)</f>
        <v>5.0997000000000003</v>
      </c>
      <c r="C86" s="8">
        <f>5.1104 * CHOOSE(CONTROL!$C$15, $D$11, 100%, $F$11)</f>
        <v>5.1104000000000003</v>
      </c>
      <c r="D86" s="8">
        <f>5.1458 * CHOOSE( CONTROL!$C$15, $D$11, 100%, $F$11)</f>
        <v>5.1458000000000004</v>
      </c>
      <c r="E86" s="12">
        <f>5.133 * CHOOSE( CONTROL!$C$15, $D$11, 100%, $F$11)</f>
        <v>5.133</v>
      </c>
      <c r="F86" s="4">
        <f>5.8285 * CHOOSE(CONTROL!$C$15, $D$11, 100%, $F$11)</f>
        <v>5.8285</v>
      </c>
      <c r="G86" s="8">
        <f>4.9815 * CHOOSE( CONTROL!$C$15, $D$11, 100%, $F$11)</f>
        <v>4.9814999999999996</v>
      </c>
      <c r="H86" s="4">
        <f>5.9326 * CHOOSE(CONTROL!$C$15, $D$11, 100%, $F$11)</f>
        <v>5.9325999999999999</v>
      </c>
      <c r="I86" s="8">
        <f>4.9996 * CHOOSE(CONTROL!$C$15, $D$11, 100%, $F$11)</f>
        <v>4.9996</v>
      </c>
      <c r="J86" s="4">
        <f>4.8817 * CHOOSE(CONTROL!$C$15, $D$11, 100%, $F$11)</f>
        <v>4.8817000000000004</v>
      </c>
      <c r="K86" s="4"/>
      <c r="L86" s="9">
        <v>31.095300000000002</v>
      </c>
      <c r="M86" s="9">
        <v>12.063700000000001</v>
      </c>
      <c r="N86" s="9">
        <v>4.9444999999999997</v>
      </c>
      <c r="O86" s="9">
        <v>0.37409999999999999</v>
      </c>
      <c r="P86" s="9">
        <v>1.2183999999999999</v>
      </c>
      <c r="Q86" s="9">
        <v>33.225200000000001</v>
      </c>
      <c r="R86" s="9"/>
      <c r="S86" s="11"/>
    </row>
    <row r="87" spans="1:19" ht="15.75">
      <c r="A87" s="13">
        <v>44136</v>
      </c>
      <c r="B87" s="8">
        <f>5.4989 * CHOOSE(CONTROL!$C$15, $D$11, 100%, $F$11)</f>
        <v>5.4988999999999999</v>
      </c>
      <c r="C87" s="8">
        <f>5.5096 * CHOOSE(CONTROL!$C$15, $D$11, 100%, $F$11)</f>
        <v>5.5095999999999998</v>
      </c>
      <c r="D87" s="8">
        <f>5.4857 * CHOOSE( CONTROL!$C$15, $D$11, 100%, $F$11)</f>
        <v>5.4856999999999996</v>
      </c>
      <c r="E87" s="12">
        <f>5.4933 * CHOOSE( CONTROL!$C$15, $D$11, 100%, $F$11)</f>
        <v>5.4932999999999996</v>
      </c>
      <c r="F87" s="4">
        <f>6.16 * CHOOSE(CONTROL!$C$15, $D$11, 100%, $F$11)</f>
        <v>6.16</v>
      </c>
      <c r="G87" s="8">
        <f>5.3717 * CHOOSE( CONTROL!$C$15, $D$11, 100%, $F$11)</f>
        <v>5.3716999999999997</v>
      </c>
      <c r="H87" s="4">
        <f>6.2567 * CHOOSE(CONTROL!$C$15, $D$11, 100%, $F$11)</f>
        <v>6.2567000000000004</v>
      </c>
      <c r="I87" s="8">
        <f>5.4264 * CHOOSE(CONTROL!$C$15, $D$11, 100%, $F$11)</f>
        <v>5.4264000000000001</v>
      </c>
      <c r="J87" s="4">
        <f>5.265 * CHOOSE(CONTROL!$C$15, $D$11, 100%, $F$11)</f>
        <v>5.2649999999999997</v>
      </c>
      <c r="K87" s="4"/>
      <c r="L87" s="9">
        <v>28.360600000000002</v>
      </c>
      <c r="M87" s="9">
        <v>11.6745</v>
      </c>
      <c r="N87" s="9">
        <v>4.7850000000000001</v>
      </c>
      <c r="O87" s="9">
        <v>0.36199999999999999</v>
      </c>
      <c r="P87" s="9">
        <v>1.2509999999999999</v>
      </c>
      <c r="Q87" s="9">
        <v>32.153399999999998</v>
      </c>
      <c r="R87" s="9"/>
      <c r="S87" s="11"/>
    </row>
    <row r="88" spans="1:19" ht="15.75">
      <c r="A88" s="13">
        <v>44166</v>
      </c>
      <c r="B88" s="8">
        <f>5.4889 * CHOOSE(CONTROL!$C$15, $D$11, 100%, $F$11)</f>
        <v>5.4889000000000001</v>
      </c>
      <c r="C88" s="8">
        <f>5.4997 * CHOOSE(CONTROL!$C$15, $D$11, 100%, $F$11)</f>
        <v>5.4996999999999998</v>
      </c>
      <c r="D88" s="8">
        <f>5.4774 * CHOOSE( CONTROL!$C$15, $D$11, 100%, $F$11)</f>
        <v>5.4774000000000003</v>
      </c>
      <c r="E88" s="12">
        <f>5.4844 * CHOOSE( CONTROL!$C$15, $D$11, 100%, $F$11)</f>
        <v>5.4843999999999999</v>
      </c>
      <c r="F88" s="4">
        <f>6.15 * CHOOSE(CONTROL!$C$15, $D$11, 100%, $F$11)</f>
        <v>6.15</v>
      </c>
      <c r="G88" s="8">
        <f>5.3632 * CHOOSE( CONTROL!$C$15, $D$11, 100%, $F$11)</f>
        <v>5.3632</v>
      </c>
      <c r="H88" s="4">
        <f>6.247 * CHOOSE(CONTROL!$C$15, $D$11, 100%, $F$11)</f>
        <v>6.2469999999999999</v>
      </c>
      <c r="I88" s="8">
        <f>5.422 * CHOOSE(CONTROL!$C$15, $D$11, 100%, $F$11)</f>
        <v>5.4219999999999997</v>
      </c>
      <c r="J88" s="4">
        <f>5.2554 * CHOOSE(CONTROL!$C$15, $D$11, 100%, $F$11)</f>
        <v>5.2553999999999998</v>
      </c>
      <c r="K88" s="4"/>
      <c r="L88" s="9">
        <v>29.306000000000001</v>
      </c>
      <c r="M88" s="9">
        <v>12.063700000000001</v>
      </c>
      <c r="N88" s="9">
        <v>4.9444999999999997</v>
      </c>
      <c r="O88" s="9">
        <v>0.37409999999999999</v>
      </c>
      <c r="P88" s="9">
        <v>1.2927</v>
      </c>
      <c r="Q88" s="9">
        <v>33.225200000000001</v>
      </c>
      <c r="R88" s="9"/>
      <c r="S88" s="11"/>
    </row>
    <row r="89" spans="1:19" ht="15.75">
      <c r="A89" s="13">
        <v>44197</v>
      </c>
      <c r="B89" s="8">
        <f>5.9506 * CHOOSE(CONTROL!$C$15, $D$11, 100%, $F$11)</f>
        <v>5.9505999999999997</v>
      </c>
      <c r="C89" s="8">
        <f>5.9613 * CHOOSE(CONTROL!$C$15, $D$11, 100%, $F$11)</f>
        <v>5.9612999999999996</v>
      </c>
      <c r="D89" s="8">
        <f>5.9429 * CHOOSE( CONTROL!$C$15, $D$11, 100%, $F$11)</f>
        <v>5.9428999999999998</v>
      </c>
      <c r="E89" s="12">
        <f>5.9485 * CHOOSE( CONTROL!$C$15, $D$11, 100%, $F$11)</f>
        <v>5.9485000000000001</v>
      </c>
      <c r="F89" s="4">
        <f>6.6117 * CHOOSE(CONTROL!$C$15, $D$11, 100%, $F$11)</f>
        <v>6.6116999999999999</v>
      </c>
      <c r="G89" s="8">
        <f>5.8102 * CHOOSE( CONTROL!$C$15, $D$11, 100%, $F$11)</f>
        <v>5.8102</v>
      </c>
      <c r="H89" s="4">
        <f>6.6984 * CHOOSE(CONTROL!$C$15, $D$11, 100%, $F$11)</f>
        <v>6.6984000000000004</v>
      </c>
      <c r="I89" s="8">
        <f>5.8209 * CHOOSE(CONTROL!$C$15, $D$11, 100%, $F$11)</f>
        <v>5.8209</v>
      </c>
      <c r="J89" s="4">
        <f>5.6987 * CHOOSE(CONTROL!$C$15, $D$11, 100%, $F$11)</f>
        <v>5.6986999999999997</v>
      </c>
      <c r="K89" s="4"/>
      <c r="L89" s="9">
        <v>29.306000000000001</v>
      </c>
      <c r="M89" s="9">
        <v>12.063700000000001</v>
      </c>
      <c r="N89" s="9">
        <v>4.9444999999999997</v>
      </c>
      <c r="O89" s="9">
        <v>0.37409999999999999</v>
      </c>
      <c r="P89" s="9">
        <v>1.2927</v>
      </c>
      <c r="Q89" s="9">
        <v>33.011299999999999</v>
      </c>
      <c r="R89" s="9"/>
      <c r="S89" s="11"/>
    </row>
    <row r="90" spans="1:19" ht="15.75">
      <c r="A90" s="13">
        <v>44228</v>
      </c>
      <c r="B90" s="8">
        <f>5.5668 * CHOOSE(CONTROL!$C$15, $D$11, 100%, $F$11)</f>
        <v>5.5667999999999997</v>
      </c>
      <c r="C90" s="8">
        <f>5.5776 * CHOOSE(CONTROL!$C$15, $D$11, 100%, $F$11)</f>
        <v>5.5776000000000003</v>
      </c>
      <c r="D90" s="8">
        <f>5.559 * CHOOSE( CONTROL!$C$15, $D$11, 100%, $F$11)</f>
        <v>5.5590000000000002</v>
      </c>
      <c r="E90" s="12">
        <f>5.5647 * CHOOSE( CONTROL!$C$15, $D$11, 100%, $F$11)</f>
        <v>5.5647000000000002</v>
      </c>
      <c r="F90" s="4">
        <f>6.2279 * CHOOSE(CONTROL!$C$15, $D$11, 100%, $F$11)</f>
        <v>6.2279</v>
      </c>
      <c r="G90" s="8">
        <f>5.4349 * CHOOSE( CONTROL!$C$15, $D$11, 100%, $F$11)</f>
        <v>5.4348999999999998</v>
      </c>
      <c r="H90" s="4">
        <f>6.3232 * CHOOSE(CONTROL!$C$15, $D$11, 100%, $F$11)</f>
        <v>6.3231999999999999</v>
      </c>
      <c r="I90" s="8">
        <f>5.4518 * CHOOSE(CONTROL!$C$15, $D$11, 100%, $F$11)</f>
        <v>5.4518000000000004</v>
      </c>
      <c r="J90" s="4">
        <f>5.3303 * CHOOSE(CONTROL!$C$15, $D$11, 100%, $F$11)</f>
        <v>5.3303000000000003</v>
      </c>
      <c r="K90" s="4"/>
      <c r="L90" s="9">
        <v>26.469899999999999</v>
      </c>
      <c r="M90" s="9">
        <v>10.8962</v>
      </c>
      <c r="N90" s="9">
        <v>4.4660000000000002</v>
      </c>
      <c r="O90" s="9">
        <v>0.33789999999999998</v>
      </c>
      <c r="P90" s="9">
        <v>1.1676</v>
      </c>
      <c r="Q90" s="9">
        <v>29.816600000000001</v>
      </c>
      <c r="R90" s="9"/>
      <c r="S90" s="11"/>
    </row>
    <row r="91" spans="1:19" ht="15.75">
      <c r="A91" s="13">
        <v>44256</v>
      </c>
      <c r="B91" s="8">
        <f>5.4487 * CHOOSE(CONTROL!$C$15, $D$11, 100%, $F$11)</f>
        <v>5.4486999999999997</v>
      </c>
      <c r="C91" s="8">
        <f>5.4594 * CHOOSE(CONTROL!$C$15, $D$11, 100%, $F$11)</f>
        <v>5.4593999999999996</v>
      </c>
      <c r="D91" s="8">
        <f>5.4404 * CHOOSE( CONTROL!$C$15, $D$11, 100%, $F$11)</f>
        <v>5.4404000000000003</v>
      </c>
      <c r="E91" s="12">
        <f>5.4462 * CHOOSE( CONTROL!$C$15, $D$11, 100%, $F$11)</f>
        <v>5.4462000000000002</v>
      </c>
      <c r="F91" s="4">
        <f>6.1098 * CHOOSE(CONTROL!$C$15, $D$11, 100%, $F$11)</f>
        <v>6.1097999999999999</v>
      </c>
      <c r="G91" s="8">
        <f>5.319 * CHOOSE( CONTROL!$C$15, $D$11, 100%, $F$11)</f>
        <v>5.319</v>
      </c>
      <c r="H91" s="4">
        <f>6.2076 * CHOOSE(CONTROL!$C$15, $D$11, 100%, $F$11)</f>
        <v>6.2076000000000002</v>
      </c>
      <c r="I91" s="8">
        <f>5.3367 * CHOOSE(CONTROL!$C$15, $D$11, 100%, $F$11)</f>
        <v>5.3367000000000004</v>
      </c>
      <c r="J91" s="4">
        <f>5.2168 * CHOOSE(CONTROL!$C$15, $D$11, 100%, $F$11)</f>
        <v>5.2168000000000001</v>
      </c>
      <c r="K91" s="4"/>
      <c r="L91" s="9">
        <v>29.306000000000001</v>
      </c>
      <c r="M91" s="9">
        <v>12.063700000000001</v>
      </c>
      <c r="N91" s="9">
        <v>4.9444999999999997</v>
      </c>
      <c r="O91" s="9">
        <v>0.37409999999999999</v>
      </c>
      <c r="P91" s="9">
        <v>1.2927</v>
      </c>
      <c r="Q91" s="9">
        <v>33.011299999999999</v>
      </c>
      <c r="R91" s="9"/>
      <c r="S91" s="11"/>
    </row>
    <row r="92" spans="1:19" ht="15.75">
      <c r="A92" s="13">
        <v>44287</v>
      </c>
      <c r="B92" s="8">
        <f>5.5312 * CHOOSE(CONTROL!$C$15, $D$11, 100%, $F$11)</f>
        <v>5.5312000000000001</v>
      </c>
      <c r="C92" s="8">
        <f>5.542 * CHOOSE(CONTROL!$C$15, $D$11, 100%, $F$11)</f>
        <v>5.5419999999999998</v>
      </c>
      <c r="D92" s="8">
        <f>5.5768 * CHOOSE( CONTROL!$C$15, $D$11, 100%, $F$11)</f>
        <v>5.5768000000000004</v>
      </c>
      <c r="E92" s="12">
        <f>5.5641 * CHOOSE( CONTROL!$C$15, $D$11, 100%, $F$11)</f>
        <v>5.5640999999999998</v>
      </c>
      <c r="F92" s="4">
        <f>6.2601 * CHOOSE(CONTROL!$C$15, $D$11, 100%, $F$11)</f>
        <v>6.2601000000000004</v>
      </c>
      <c r="G92" s="8">
        <f>5.4025 * CHOOSE( CONTROL!$C$15, $D$11, 100%, $F$11)</f>
        <v>5.4024999999999999</v>
      </c>
      <c r="H92" s="4">
        <f>6.3546 * CHOOSE(CONTROL!$C$15, $D$11, 100%, $F$11)</f>
        <v>6.3545999999999996</v>
      </c>
      <c r="I92" s="8">
        <f>5.4113 * CHOOSE(CONTROL!$C$15, $D$11, 100%, $F$11)</f>
        <v>5.4112999999999998</v>
      </c>
      <c r="J92" s="4">
        <f>5.2961 * CHOOSE(CONTROL!$C$15, $D$11, 100%, $F$11)</f>
        <v>5.2961</v>
      </c>
      <c r="K92" s="4"/>
      <c r="L92" s="9">
        <v>30.092199999999998</v>
      </c>
      <c r="M92" s="9">
        <v>11.6745</v>
      </c>
      <c r="N92" s="9">
        <v>4.7850000000000001</v>
      </c>
      <c r="O92" s="9">
        <v>0.36199999999999999</v>
      </c>
      <c r="P92" s="9">
        <v>1.1791</v>
      </c>
      <c r="Q92" s="9">
        <v>31.946400000000001</v>
      </c>
      <c r="R92" s="9"/>
      <c r="S92" s="11"/>
    </row>
    <row r="93" spans="1:19" ht="15.75">
      <c r="A93" s="13">
        <v>44317</v>
      </c>
      <c r="B93" s="8">
        <f>CHOOSE( CONTROL!$C$32, 5.6804, 5.6781) * CHOOSE(CONTROL!$C$15, $D$11, 100%, $F$11)</f>
        <v>5.6803999999999997</v>
      </c>
      <c r="C93" s="8">
        <f>CHOOSE( CONTROL!$C$32, 5.691, 5.6887) * CHOOSE(CONTROL!$C$15, $D$11, 100%, $F$11)</f>
        <v>5.6909999999999998</v>
      </c>
      <c r="D93" s="8">
        <f>CHOOSE( CONTROL!$C$32, 5.7248, 5.7225) * CHOOSE( CONTROL!$C$15, $D$11, 100%, $F$11)</f>
        <v>5.7248000000000001</v>
      </c>
      <c r="E93" s="12">
        <f>CHOOSE( CONTROL!$C$32, 5.7109, 5.7086) * CHOOSE( CONTROL!$C$15, $D$11, 100%, $F$11)</f>
        <v>5.7108999999999996</v>
      </c>
      <c r="F93" s="4">
        <f>CHOOSE( CONTROL!$C$32, 6.4093, 6.407) * CHOOSE(CONTROL!$C$15, $D$11, 100%, $F$11)</f>
        <v>6.4093</v>
      </c>
      <c r="G93" s="8">
        <f>CHOOSE( CONTROL!$C$32, 5.5489, 5.5467) * CHOOSE( CONTROL!$C$15, $D$11, 100%, $F$11)</f>
        <v>5.5488999999999997</v>
      </c>
      <c r="H93" s="4">
        <f>CHOOSE( CONTROL!$C$32, 6.5005, 6.4983) * CHOOSE(CONTROL!$C$15, $D$11, 100%, $F$11)</f>
        <v>6.5004999999999997</v>
      </c>
      <c r="I93" s="8">
        <f>CHOOSE( CONTROL!$C$32, 5.5548, 5.5526) * CHOOSE(CONTROL!$C$15, $D$11, 100%, $F$11)</f>
        <v>5.5548000000000002</v>
      </c>
      <c r="J93" s="4">
        <f>CHOOSE( CONTROL!$C$32, 5.4394, 5.4372) * CHOOSE(CONTROL!$C$15, $D$11, 100%, $F$11)</f>
        <v>5.4394</v>
      </c>
      <c r="K93" s="4"/>
      <c r="L93" s="9">
        <v>30.7165</v>
      </c>
      <c r="M93" s="9">
        <v>12.063700000000001</v>
      </c>
      <c r="N93" s="9">
        <v>4.9444999999999997</v>
      </c>
      <c r="O93" s="9">
        <v>0.37409999999999999</v>
      </c>
      <c r="P93" s="9">
        <v>1.2183999999999999</v>
      </c>
      <c r="Q93" s="9">
        <v>33.011299999999999</v>
      </c>
      <c r="R93" s="9"/>
      <c r="S93" s="11"/>
    </row>
    <row r="94" spans="1:19" ht="15.75">
      <c r="A94" s="13">
        <v>44348</v>
      </c>
      <c r="B94" s="8">
        <f>CHOOSE( CONTROL!$C$32, 5.5893, 5.587) * CHOOSE(CONTROL!$C$15, $D$11, 100%, $F$11)</f>
        <v>5.5892999999999997</v>
      </c>
      <c r="C94" s="8">
        <f>CHOOSE( CONTROL!$C$32, 5.5999, 5.5976) * CHOOSE(CONTROL!$C$15, $D$11, 100%, $F$11)</f>
        <v>5.5998999999999999</v>
      </c>
      <c r="D94" s="8">
        <f>CHOOSE( CONTROL!$C$32, 5.6339, 5.6316) * CHOOSE( CONTROL!$C$15, $D$11, 100%, $F$11)</f>
        <v>5.6338999999999997</v>
      </c>
      <c r="E94" s="12">
        <f>CHOOSE( CONTROL!$C$32, 5.62, 5.6177) * CHOOSE( CONTROL!$C$15, $D$11, 100%, $F$11)</f>
        <v>5.62</v>
      </c>
      <c r="F94" s="4">
        <f>CHOOSE( CONTROL!$C$32, 6.3183, 6.316) * CHOOSE(CONTROL!$C$15, $D$11, 100%, $F$11)</f>
        <v>6.3182999999999998</v>
      </c>
      <c r="G94" s="8">
        <f>CHOOSE( CONTROL!$C$32, 5.4602, 5.4579) * CHOOSE( CONTROL!$C$15, $D$11, 100%, $F$11)</f>
        <v>5.4602000000000004</v>
      </c>
      <c r="H94" s="4">
        <f>CHOOSE( CONTROL!$C$32, 6.4115, 6.4093) * CHOOSE(CONTROL!$C$15, $D$11, 100%, $F$11)</f>
        <v>6.4115000000000002</v>
      </c>
      <c r="I94" s="8">
        <f>CHOOSE( CONTROL!$C$32, 5.4681, 5.4659) * CHOOSE(CONTROL!$C$15, $D$11, 100%, $F$11)</f>
        <v>5.4680999999999997</v>
      </c>
      <c r="J94" s="4">
        <f>CHOOSE( CONTROL!$C$32, 5.352, 5.3498) * CHOOSE(CONTROL!$C$15, $D$11, 100%, $F$11)</f>
        <v>5.3520000000000003</v>
      </c>
      <c r="K94" s="4"/>
      <c r="L94" s="9">
        <v>29.7257</v>
      </c>
      <c r="M94" s="9">
        <v>11.6745</v>
      </c>
      <c r="N94" s="9">
        <v>4.7850000000000001</v>
      </c>
      <c r="O94" s="9">
        <v>0.36199999999999999</v>
      </c>
      <c r="P94" s="9">
        <v>1.1791</v>
      </c>
      <c r="Q94" s="9">
        <v>31.946400000000001</v>
      </c>
      <c r="R94" s="9"/>
      <c r="S94" s="11"/>
    </row>
    <row r="95" spans="1:19" ht="15.75">
      <c r="A95" s="13">
        <v>44378</v>
      </c>
      <c r="B95" s="8">
        <f>CHOOSE( CONTROL!$C$32, 5.8291, 5.8268) * CHOOSE(CONTROL!$C$15, $D$11, 100%, $F$11)</f>
        <v>5.8291000000000004</v>
      </c>
      <c r="C95" s="8">
        <f>CHOOSE( CONTROL!$C$32, 5.8397, 5.8374) * CHOOSE(CONTROL!$C$15, $D$11, 100%, $F$11)</f>
        <v>5.8396999999999997</v>
      </c>
      <c r="D95" s="8">
        <f>CHOOSE( CONTROL!$C$32, 5.8739, 5.8716) * CHOOSE( CONTROL!$C$15, $D$11, 100%, $F$11)</f>
        <v>5.8738999999999999</v>
      </c>
      <c r="E95" s="12">
        <f>CHOOSE( CONTROL!$C$32, 5.8599, 5.8576) * CHOOSE( CONTROL!$C$15, $D$11, 100%, $F$11)</f>
        <v>5.8598999999999997</v>
      </c>
      <c r="F95" s="4">
        <f>CHOOSE( CONTROL!$C$32, 6.5581, 6.5558) * CHOOSE(CONTROL!$C$15, $D$11, 100%, $F$11)</f>
        <v>6.5580999999999996</v>
      </c>
      <c r="G95" s="8">
        <f>CHOOSE( CONTROL!$C$32, 5.6949, 5.6927) * CHOOSE( CONTROL!$C$15, $D$11, 100%, $F$11)</f>
        <v>5.6948999999999996</v>
      </c>
      <c r="H95" s="4">
        <f>CHOOSE( CONTROL!$C$32, 6.6459, 6.6437) * CHOOSE(CONTROL!$C$15, $D$11, 100%, $F$11)</f>
        <v>6.6459000000000001</v>
      </c>
      <c r="I95" s="8">
        <f>CHOOSE( CONTROL!$C$32, 5.6994, 5.6972) * CHOOSE(CONTROL!$C$15, $D$11, 100%, $F$11)</f>
        <v>5.6993999999999998</v>
      </c>
      <c r="J95" s="4">
        <f>CHOOSE( CONTROL!$C$32, 5.5822, 5.58) * CHOOSE(CONTROL!$C$15, $D$11, 100%, $F$11)</f>
        <v>5.5822000000000003</v>
      </c>
      <c r="K95" s="4"/>
      <c r="L95" s="9">
        <v>30.7165</v>
      </c>
      <c r="M95" s="9">
        <v>12.063700000000001</v>
      </c>
      <c r="N95" s="9">
        <v>4.9444999999999997</v>
      </c>
      <c r="O95" s="9">
        <v>0.37409999999999999</v>
      </c>
      <c r="P95" s="9">
        <v>1.2183999999999999</v>
      </c>
      <c r="Q95" s="9">
        <v>33.011299999999999</v>
      </c>
      <c r="R95" s="9"/>
      <c r="S95" s="11"/>
    </row>
    <row r="96" spans="1:19" ht="15.75">
      <c r="A96" s="13">
        <v>44409</v>
      </c>
      <c r="B96" s="8">
        <f>CHOOSE( CONTROL!$C$32, 5.3805, 5.3782) * CHOOSE(CONTROL!$C$15, $D$11, 100%, $F$11)</f>
        <v>5.3804999999999996</v>
      </c>
      <c r="C96" s="8">
        <f>CHOOSE( CONTROL!$C$32, 5.391, 5.3887) * CHOOSE(CONTROL!$C$15, $D$11, 100%, $F$11)</f>
        <v>5.391</v>
      </c>
      <c r="D96" s="8">
        <f>CHOOSE( CONTROL!$C$32, 5.4253, 5.423) * CHOOSE( CONTROL!$C$15, $D$11, 100%, $F$11)</f>
        <v>5.4253</v>
      </c>
      <c r="E96" s="12">
        <f>CHOOSE( CONTROL!$C$32, 5.4113, 5.409) * CHOOSE( CONTROL!$C$15, $D$11, 100%, $F$11)</f>
        <v>5.4112999999999998</v>
      </c>
      <c r="F96" s="4">
        <f>CHOOSE( CONTROL!$C$32, 6.1094, 6.1071) * CHOOSE(CONTROL!$C$15, $D$11, 100%, $F$11)</f>
        <v>6.1093999999999999</v>
      </c>
      <c r="G96" s="8">
        <f>CHOOSE( CONTROL!$C$32, 5.2564, 5.2541) * CHOOSE( CONTROL!$C$15, $D$11, 100%, $F$11)</f>
        <v>5.2564000000000002</v>
      </c>
      <c r="H96" s="4">
        <f>CHOOSE( CONTROL!$C$32, 6.2073, 6.2051) * CHOOSE(CONTROL!$C$15, $D$11, 100%, $F$11)</f>
        <v>6.2073</v>
      </c>
      <c r="I96" s="8">
        <f>CHOOSE( CONTROL!$C$32, 5.2687, 5.2665) * CHOOSE(CONTROL!$C$15, $D$11, 100%, $F$11)</f>
        <v>5.2686999999999999</v>
      </c>
      <c r="J96" s="4">
        <f>CHOOSE( CONTROL!$C$32, 5.1515, 5.1493) * CHOOSE(CONTROL!$C$15, $D$11, 100%, $F$11)</f>
        <v>5.1515000000000004</v>
      </c>
      <c r="K96" s="4"/>
      <c r="L96" s="9">
        <v>30.7165</v>
      </c>
      <c r="M96" s="9">
        <v>12.063700000000001</v>
      </c>
      <c r="N96" s="9">
        <v>4.9444999999999997</v>
      </c>
      <c r="O96" s="9">
        <v>0.37409999999999999</v>
      </c>
      <c r="P96" s="9">
        <v>1.2183999999999999</v>
      </c>
      <c r="Q96" s="9">
        <v>33.011299999999999</v>
      </c>
      <c r="R96" s="9"/>
      <c r="S96" s="11"/>
    </row>
    <row r="97" spans="1:19" ht="15.75">
      <c r="A97" s="13">
        <v>44440</v>
      </c>
      <c r="B97" s="8">
        <f>CHOOSE( CONTROL!$C$32, 5.2681, 5.2658) * CHOOSE(CONTROL!$C$15, $D$11, 100%, $F$11)</f>
        <v>5.2680999999999996</v>
      </c>
      <c r="C97" s="8">
        <f>CHOOSE( CONTROL!$C$32, 5.2787, 5.2764) * CHOOSE(CONTROL!$C$15, $D$11, 100%, $F$11)</f>
        <v>5.2786999999999997</v>
      </c>
      <c r="D97" s="8">
        <f>CHOOSE( CONTROL!$C$32, 5.3129, 5.3106) * CHOOSE( CONTROL!$C$15, $D$11, 100%, $F$11)</f>
        <v>5.3129</v>
      </c>
      <c r="E97" s="12">
        <f>CHOOSE( CONTROL!$C$32, 5.2989, 5.2966) * CHOOSE( CONTROL!$C$15, $D$11, 100%, $F$11)</f>
        <v>5.2988999999999997</v>
      </c>
      <c r="F97" s="4">
        <f>CHOOSE( CONTROL!$C$32, 5.9971, 5.9948) * CHOOSE(CONTROL!$C$15, $D$11, 100%, $F$11)</f>
        <v>5.9970999999999997</v>
      </c>
      <c r="G97" s="8">
        <f>CHOOSE( CONTROL!$C$32, 5.1465, 5.1442) * CHOOSE( CONTROL!$C$15, $D$11, 100%, $F$11)</f>
        <v>5.1464999999999996</v>
      </c>
      <c r="H97" s="4">
        <f>CHOOSE( CONTROL!$C$32, 6.0975, 6.0952) * CHOOSE(CONTROL!$C$15, $D$11, 100%, $F$11)</f>
        <v>6.0975000000000001</v>
      </c>
      <c r="I97" s="8">
        <f>CHOOSE( CONTROL!$C$32, 5.1607, 5.1585) * CHOOSE(CONTROL!$C$15, $D$11, 100%, $F$11)</f>
        <v>5.1607000000000003</v>
      </c>
      <c r="J97" s="4">
        <f>CHOOSE( CONTROL!$C$32, 5.0436, 5.0414) * CHOOSE(CONTROL!$C$15, $D$11, 100%, $F$11)</f>
        <v>5.0435999999999996</v>
      </c>
      <c r="K97" s="4"/>
      <c r="L97" s="9">
        <v>29.7257</v>
      </c>
      <c r="M97" s="9">
        <v>11.6745</v>
      </c>
      <c r="N97" s="9">
        <v>4.7850000000000001</v>
      </c>
      <c r="O97" s="9">
        <v>0.36199999999999999</v>
      </c>
      <c r="P97" s="9">
        <v>1.1791</v>
      </c>
      <c r="Q97" s="9">
        <v>31.946400000000001</v>
      </c>
      <c r="R97" s="9"/>
      <c r="S97" s="11"/>
    </row>
    <row r="98" spans="1:19" ht="15.75">
      <c r="A98" s="13">
        <v>44470</v>
      </c>
      <c r="B98" s="8">
        <f>5.4992 * CHOOSE(CONTROL!$C$15, $D$11, 100%, $F$11)</f>
        <v>5.4992000000000001</v>
      </c>
      <c r="C98" s="8">
        <f>5.5099 * CHOOSE(CONTROL!$C$15, $D$11, 100%, $F$11)</f>
        <v>5.5099</v>
      </c>
      <c r="D98" s="8">
        <f>5.5454 * CHOOSE( CONTROL!$C$15, $D$11, 100%, $F$11)</f>
        <v>5.5453999999999999</v>
      </c>
      <c r="E98" s="12">
        <f>5.5325 * CHOOSE( CONTROL!$C$15, $D$11, 100%, $F$11)</f>
        <v>5.5324999999999998</v>
      </c>
      <c r="F98" s="4">
        <f>6.228 * CHOOSE(CONTROL!$C$15, $D$11, 100%, $F$11)</f>
        <v>6.2279999999999998</v>
      </c>
      <c r="G98" s="8">
        <f>5.3721 * CHOOSE( CONTROL!$C$15, $D$11, 100%, $F$11)</f>
        <v>5.3720999999999997</v>
      </c>
      <c r="H98" s="4">
        <f>6.3233 * CHOOSE(CONTROL!$C$15, $D$11, 100%, $F$11)</f>
        <v>6.3232999999999997</v>
      </c>
      <c r="I98" s="8">
        <f>5.3834 * CHOOSE(CONTROL!$C$15, $D$11, 100%, $F$11)</f>
        <v>5.3834</v>
      </c>
      <c r="J98" s="4">
        <f>5.2653 * CHOOSE(CONTROL!$C$15, $D$11, 100%, $F$11)</f>
        <v>5.2652999999999999</v>
      </c>
      <c r="K98" s="4"/>
      <c r="L98" s="9">
        <v>31.095300000000002</v>
      </c>
      <c r="M98" s="9">
        <v>12.063700000000001</v>
      </c>
      <c r="N98" s="9">
        <v>4.9444999999999997</v>
      </c>
      <c r="O98" s="9">
        <v>0.37409999999999999</v>
      </c>
      <c r="P98" s="9">
        <v>1.2183999999999999</v>
      </c>
      <c r="Q98" s="9">
        <v>33.011299999999999</v>
      </c>
      <c r="R98" s="9"/>
      <c r="S98" s="11"/>
    </row>
    <row r="99" spans="1:19" ht="15.75">
      <c r="A99" s="13">
        <v>44501</v>
      </c>
      <c r="B99" s="8">
        <f>5.9298 * CHOOSE(CONTROL!$C$15, $D$11, 100%, $F$11)</f>
        <v>5.9298000000000002</v>
      </c>
      <c r="C99" s="8">
        <f>5.9405 * CHOOSE(CONTROL!$C$15, $D$11, 100%, $F$11)</f>
        <v>5.9405000000000001</v>
      </c>
      <c r="D99" s="8">
        <f>5.9166 * CHOOSE( CONTROL!$C$15, $D$11, 100%, $F$11)</f>
        <v>5.9165999999999999</v>
      </c>
      <c r="E99" s="12">
        <f>5.9242 * CHOOSE( CONTROL!$C$15, $D$11, 100%, $F$11)</f>
        <v>5.9241999999999999</v>
      </c>
      <c r="F99" s="4">
        <f>6.5909 * CHOOSE(CONTROL!$C$15, $D$11, 100%, $F$11)</f>
        <v>6.5909000000000004</v>
      </c>
      <c r="G99" s="8">
        <f>5.793 * CHOOSE( CONTROL!$C$15, $D$11, 100%, $F$11)</f>
        <v>5.7930000000000001</v>
      </c>
      <c r="H99" s="4">
        <f>6.678 * CHOOSE(CONTROL!$C$15, $D$11, 100%, $F$11)</f>
        <v>6.6779999999999999</v>
      </c>
      <c r="I99" s="8">
        <f>5.8404 * CHOOSE(CONTROL!$C$15, $D$11, 100%, $F$11)</f>
        <v>5.8403999999999998</v>
      </c>
      <c r="J99" s="4">
        <f>5.6787 * CHOOSE(CONTROL!$C$15, $D$11, 100%, $F$11)</f>
        <v>5.6787000000000001</v>
      </c>
      <c r="K99" s="4"/>
      <c r="L99" s="9">
        <v>28.360600000000002</v>
      </c>
      <c r="M99" s="9">
        <v>11.6745</v>
      </c>
      <c r="N99" s="9">
        <v>4.7850000000000001</v>
      </c>
      <c r="O99" s="9">
        <v>0.36199999999999999</v>
      </c>
      <c r="P99" s="9">
        <v>1.2509999999999999</v>
      </c>
      <c r="Q99" s="9">
        <v>31.946400000000001</v>
      </c>
      <c r="R99" s="9"/>
      <c r="S99" s="11"/>
    </row>
    <row r="100" spans="1:19" ht="15.75">
      <c r="A100" s="13">
        <v>44531</v>
      </c>
      <c r="B100" s="8">
        <f>5.919 * CHOOSE(CONTROL!$C$15, $D$11, 100%, $F$11)</f>
        <v>5.9189999999999996</v>
      </c>
      <c r="C100" s="8">
        <f>5.9298 * CHOOSE(CONTROL!$C$15, $D$11, 100%, $F$11)</f>
        <v>5.9298000000000002</v>
      </c>
      <c r="D100" s="8">
        <f>5.9075 * CHOOSE( CONTROL!$C$15, $D$11, 100%, $F$11)</f>
        <v>5.9074999999999998</v>
      </c>
      <c r="E100" s="12">
        <f>5.9145 * CHOOSE( CONTROL!$C$15, $D$11, 100%, $F$11)</f>
        <v>5.9145000000000003</v>
      </c>
      <c r="F100" s="4">
        <f>6.5801 * CHOOSE(CONTROL!$C$15, $D$11, 100%, $F$11)</f>
        <v>6.5800999999999998</v>
      </c>
      <c r="G100" s="8">
        <f>5.7838 * CHOOSE( CONTROL!$C$15, $D$11, 100%, $F$11)</f>
        <v>5.7838000000000003</v>
      </c>
      <c r="H100" s="4">
        <f>6.6675 * CHOOSE(CONTROL!$C$15, $D$11, 100%, $F$11)</f>
        <v>6.6675000000000004</v>
      </c>
      <c r="I100" s="8">
        <f>5.8352 * CHOOSE(CONTROL!$C$15, $D$11, 100%, $F$11)</f>
        <v>5.8352000000000004</v>
      </c>
      <c r="J100" s="4">
        <f>5.6684 * CHOOSE(CONTROL!$C$15, $D$11, 100%, $F$11)</f>
        <v>5.6684000000000001</v>
      </c>
      <c r="K100" s="4"/>
      <c r="L100" s="9">
        <v>29.306000000000001</v>
      </c>
      <c r="M100" s="9">
        <v>12.063700000000001</v>
      </c>
      <c r="N100" s="9">
        <v>4.9444999999999997</v>
      </c>
      <c r="O100" s="9">
        <v>0.37409999999999999</v>
      </c>
      <c r="P100" s="9">
        <v>1.2927</v>
      </c>
      <c r="Q100" s="9">
        <v>33.011299999999999</v>
      </c>
      <c r="R100" s="9"/>
      <c r="S100" s="11"/>
    </row>
    <row r="101" spans="1:19" ht="15.75">
      <c r="A101" s="13">
        <v>44562</v>
      </c>
      <c r="B101" s="8">
        <f>6.2731 * CHOOSE(CONTROL!$C$15, $D$11, 100%, $F$11)</f>
        <v>6.2731000000000003</v>
      </c>
      <c r="C101" s="8">
        <f>6.2838 * CHOOSE(CONTROL!$C$15, $D$11, 100%, $F$11)</f>
        <v>6.2838000000000003</v>
      </c>
      <c r="D101" s="8">
        <f>6.2654 * CHOOSE( CONTROL!$C$15, $D$11, 100%, $F$11)</f>
        <v>6.2653999999999996</v>
      </c>
      <c r="E101" s="12">
        <f>6.271 * CHOOSE( CONTROL!$C$15, $D$11, 100%, $F$11)</f>
        <v>6.2709999999999999</v>
      </c>
      <c r="F101" s="4">
        <f>6.9342 * CHOOSE(CONTROL!$C$15, $D$11, 100%, $F$11)</f>
        <v>6.9341999999999997</v>
      </c>
      <c r="G101" s="8">
        <f>6.1255 * CHOOSE( CONTROL!$C$15, $D$11, 100%, $F$11)</f>
        <v>6.1254999999999997</v>
      </c>
      <c r="H101" s="4">
        <f>7.0137 * CHOOSE(CONTROL!$C$15, $D$11, 100%, $F$11)</f>
        <v>7.0137</v>
      </c>
      <c r="I101" s="8">
        <f>6.1307 * CHOOSE(CONTROL!$C$15, $D$11, 100%, $F$11)</f>
        <v>6.1307</v>
      </c>
      <c r="J101" s="4">
        <f>6.0083 * CHOOSE(CONTROL!$C$15, $D$11, 100%, $F$11)</f>
        <v>6.0083000000000002</v>
      </c>
      <c r="K101" s="4"/>
      <c r="L101" s="9">
        <v>29.306000000000001</v>
      </c>
      <c r="M101" s="9">
        <v>12.063700000000001</v>
      </c>
      <c r="N101" s="9">
        <v>4.9444999999999997</v>
      </c>
      <c r="O101" s="9">
        <v>0.37409999999999999</v>
      </c>
      <c r="P101" s="9">
        <v>1.2927</v>
      </c>
      <c r="Q101" s="9">
        <v>32.8123</v>
      </c>
      <c r="R101" s="9"/>
      <c r="S101" s="11"/>
    </row>
    <row r="102" spans="1:19" ht="15.75">
      <c r="A102" s="13">
        <v>44593</v>
      </c>
      <c r="B102" s="8">
        <f>5.8685 * CHOOSE(CONTROL!$C$15, $D$11, 100%, $F$11)</f>
        <v>5.8685</v>
      </c>
      <c r="C102" s="8">
        <f>5.8792 * CHOOSE(CONTROL!$C$15, $D$11, 100%, $F$11)</f>
        <v>5.8792</v>
      </c>
      <c r="D102" s="8">
        <f>5.8607 * CHOOSE( CONTROL!$C$15, $D$11, 100%, $F$11)</f>
        <v>5.8606999999999996</v>
      </c>
      <c r="E102" s="12">
        <f>5.8663 * CHOOSE( CONTROL!$C$15, $D$11, 100%, $F$11)</f>
        <v>5.8662999999999998</v>
      </c>
      <c r="F102" s="4">
        <f>6.5296 * CHOOSE(CONTROL!$C$15, $D$11, 100%, $F$11)</f>
        <v>6.5296000000000003</v>
      </c>
      <c r="G102" s="8">
        <f>5.7298 * CHOOSE( CONTROL!$C$15, $D$11, 100%, $F$11)</f>
        <v>5.7298</v>
      </c>
      <c r="H102" s="4">
        <f>6.6181 * CHOOSE(CONTROL!$C$15, $D$11, 100%, $F$11)</f>
        <v>6.6181000000000001</v>
      </c>
      <c r="I102" s="8">
        <f>5.7415 * CHOOSE(CONTROL!$C$15, $D$11, 100%, $F$11)</f>
        <v>5.7415000000000003</v>
      </c>
      <c r="J102" s="4">
        <f>5.6199 * CHOOSE(CONTROL!$C$15, $D$11, 100%, $F$11)</f>
        <v>5.6199000000000003</v>
      </c>
      <c r="K102" s="4"/>
      <c r="L102" s="9">
        <v>26.469899999999999</v>
      </c>
      <c r="M102" s="9">
        <v>10.8962</v>
      </c>
      <c r="N102" s="9">
        <v>4.4660000000000002</v>
      </c>
      <c r="O102" s="9">
        <v>0.33789999999999998</v>
      </c>
      <c r="P102" s="9">
        <v>1.1676</v>
      </c>
      <c r="Q102" s="9">
        <v>29.636900000000001</v>
      </c>
      <c r="R102" s="9"/>
      <c r="S102" s="11"/>
    </row>
    <row r="103" spans="1:19" ht="15.75">
      <c r="A103" s="13">
        <v>44621</v>
      </c>
      <c r="B103" s="8">
        <f>5.7439 * CHOOSE(CONTROL!$C$15, $D$11, 100%, $F$11)</f>
        <v>5.7439</v>
      </c>
      <c r="C103" s="8">
        <f>5.7546 * CHOOSE(CONTROL!$C$15, $D$11, 100%, $F$11)</f>
        <v>5.7545999999999999</v>
      </c>
      <c r="D103" s="8">
        <f>5.7356 * CHOOSE( CONTROL!$C$15, $D$11, 100%, $F$11)</f>
        <v>5.7355999999999998</v>
      </c>
      <c r="E103" s="12">
        <f>5.7414 * CHOOSE( CONTROL!$C$15, $D$11, 100%, $F$11)</f>
        <v>5.7413999999999996</v>
      </c>
      <c r="F103" s="4">
        <f>6.405 * CHOOSE(CONTROL!$C$15, $D$11, 100%, $F$11)</f>
        <v>6.4050000000000002</v>
      </c>
      <c r="G103" s="8">
        <f>5.6076 * CHOOSE( CONTROL!$C$15, $D$11, 100%, $F$11)</f>
        <v>5.6075999999999997</v>
      </c>
      <c r="H103" s="4">
        <f>6.4963 * CHOOSE(CONTROL!$C$15, $D$11, 100%, $F$11)</f>
        <v>6.4962999999999997</v>
      </c>
      <c r="I103" s="8">
        <f>5.6203 * CHOOSE(CONTROL!$C$15, $D$11, 100%, $F$11)</f>
        <v>5.6203000000000003</v>
      </c>
      <c r="J103" s="4">
        <f>5.5002 * CHOOSE(CONTROL!$C$15, $D$11, 100%, $F$11)</f>
        <v>5.5002000000000004</v>
      </c>
      <c r="K103" s="4"/>
      <c r="L103" s="9">
        <v>29.306000000000001</v>
      </c>
      <c r="M103" s="9">
        <v>12.063700000000001</v>
      </c>
      <c r="N103" s="9">
        <v>4.9444999999999997</v>
      </c>
      <c r="O103" s="9">
        <v>0.37409999999999999</v>
      </c>
      <c r="P103" s="9">
        <v>1.2927</v>
      </c>
      <c r="Q103" s="9">
        <v>32.8123</v>
      </c>
      <c r="R103" s="9"/>
      <c r="S103" s="11"/>
    </row>
    <row r="104" spans="1:19" ht="15.75">
      <c r="A104" s="13">
        <v>44652</v>
      </c>
      <c r="B104" s="8">
        <f>5.8309 * CHOOSE(CONTROL!$C$15, $D$11, 100%, $F$11)</f>
        <v>5.8308999999999997</v>
      </c>
      <c r="C104" s="8">
        <f>5.8417 * CHOOSE(CONTROL!$C$15, $D$11, 100%, $F$11)</f>
        <v>5.8417000000000003</v>
      </c>
      <c r="D104" s="8">
        <f>5.8765 * CHOOSE( CONTROL!$C$15, $D$11, 100%, $F$11)</f>
        <v>5.8765000000000001</v>
      </c>
      <c r="E104" s="12">
        <f>5.8638 * CHOOSE( CONTROL!$C$15, $D$11, 100%, $F$11)</f>
        <v>5.8638000000000003</v>
      </c>
      <c r="F104" s="4">
        <f>6.5598 * CHOOSE(CONTROL!$C$15, $D$11, 100%, $F$11)</f>
        <v>6.5598000000000001</v>
      </c>
      <c r="G104" s="8">
        <f>5.6955 * CHOOSE( CONTROL!$C$15, $D$11, 100%, $F$11)</f>
        <v>5.6955</v>
      </c>
      <c r="H104" s="4">
        <f>6.6476 * CHOOSE(CONTROL!$C$15, $D$11, 100%, $F$11)</f>
        <v>6.6475999999999997</v>
      </c>
      <c r="I104" s="8">
        <f>5.6992 * CHOOSE(CONTROL!$C$15, $D$11, 100%, $F$11)</f>
        <v>5.6992000000000003</v>
      </c>
      <c r="J104" s="4">
        <f>5.5838 * CHOOSE(CONTROL!$C$15, $D$11, 100%, $F$11)</f>
        <v>5.5838000000000001</v>
      </c>
      <c r="K104" s="4"/>
      <c r="L104" s="9">
        <v>30.092199999999998</v>
      </c>
      <c r="M104" s="9">
        <v>11.6745</v>
      </c>
      <c r="N104" s="9">
        <v>4.7850000000000001</v>
      </c>
      <c r="O104" s="9">
        <v>0.36199999999999999</v>
      </c>
      <c r="P104" s="9">
        <v>1.1791</v>
      </c>
      <c r="Q104" s="9">
        <v>31.753799999999998</v>
      </c>
      <c r="R104" s="9"/>
      <c r="S104" s="11"/>
    </row>
    <row r="105" spans="1:19" ht="15.75">
      <c r="A105" s="13">
        <v>44682</v>
      </c>
      <c r="B105" s="8">
        <f>CHOOSE( CONTROL!$C$32, 5.9881, 5.9858) * CHOOSE(CONTROL!$C$15, $D$11, 100%, $F$11)</f>
        <v>5.9881000000000002</v>
      </c>
      <c r="C105" s="8">
        <f>CHOOSE( CONTROL!$C$32, 5.9987, 5.9964) * CHOOSE(CONTROL!$C$15, $D$11, 100%, $F$11)</f>
        <v>5.9987000000000004</v>
      </c>
      <c r="D105" s="8">
        <f>CHOOSE( CONTROL!$C$32, 6.0325, 6.0302) * CHOOSE( CONTROL!$C$15, $D$11, 100%, $F$11)</f>
        <v>6.0324999999999998</v>
      </c>
      <c r="E105" s="12">
        <f>CHOOSE( CONTROL!$C$32, 6.0186, 6.0163) * CHOOSE( CONTROL!$C$15, $D$11, 100%, $F$11)</f>
        <v>6.0186000000000002</v>
      </c>
      <c r="F105" s="4">
        <f>CHOOSE( CONTROL!$C$32, 6.717, 6.7147) * CHOOSE(CONTROL!$C$15, $D$11, 100%, $F$11)</f>
        <v>6.7169999999999996</v>
      </c>
      <c r="G105" s="8">
        <f>CHOOSE( CONTROL!$C$32, 5.8498, 5.8475) * CHOOSE( CONTROL!$C$15, $D$11, 100%, $F$11)</f>
        <v>5.8498000000000001</v>
      </c>
      <c r="H105" s="4">
        <f>CHOOSE( CONTROL!$C$32, 6.8014, 6.7991) * CHOOSE(CONTROL!$C$15, $D$11, 100%, $F$11)</f>
        <v>6.8014000000000001</v>
      </c>
      <c r="I105" s="8">
        <f>CHOOSE( CONTROL!$C$32, 5.8504, 5.8482) * CHOOSE(CONTROL!$C$15, $D$11, 100%, $F$11)</f>
        <v>5.8503999999999996</v>
      </c>
      <c r="J105" s="4">
        <f>CHOOSE( CONTROL!$C$32, 5.7348, 5.7326) * CHOOSE(CONTROL!$C$15, $D$11, 100%, $F$11)</f>
        <v>5.7347999999999999</v>
      </c>
      <c r="K105" s="4"/>
      <c r="L105" s="9">
        <v>30.7165</v>
      </c>
      <c r="M105" s="9">
        <v>12.063700000000001</v>
      </c>
      <c r="N105" s="9">
        <v>4.9444999999999997</v>
      </c>
      <c r="O105" s="9">
        <v>0.37409999999999999</v>
      </c>
      <c r="P105" s="9">
        <v>1.2183999999999999</v>
      </c>
      <c r="Q105" s="9">
        <v>32.8123</v>
      </c>
      <c r="R105" s="9"/>
      <c r="S105" s="11"/>
    </row>
    <row r="106" spans="1:19" ht="15.75">
      <c r="A106" s="13">
        <v>44713</v>
      </c>
      <c r="B106" s="8">
        <f>CHOOSE( CONTROL!$C$32, 5.8921, 5.8898) * CHOOSE(CONTROL!$C$15, $D$11, 100%, $F$11)</f>
        <v>5.8921000000000001</v>
      </c>
      <c r="C106" s="8">
        <f>CHOOSE( CONTROL!$C$32, 5.9027, 5.9004) * CHOOSE(CONTROL!$C$15, $D$11, 100%, $F$11)</f>
        <v>5.9027000000000003</v>
      </c>
      <c r="D106" s="8">
        <f>CHOOSE( CONTROL!$C$32, 5.9366, 5.9343) * CHOOSE( CONTROL!$C$15, $D$11, 100%, $F$11)</f>
        <v>5.9366000000000003</v>
      </c>
      <c r="E106" s="12">
        <f>CHOOSE( CONTROL!$C$32, 5.9227, 5.9204) * CHOOSE( CONTROL!$C$15, $D$11, 100%, $F$11)</f>
        <v>5.9226999999999999</v>
      </c>
      <c r="F106" s="4">
        <f>CHOOSE( CONTROL!$C$32, 6.621, 6.6187) * CHOOSE(CONTROL!$C$15, $D$11, 100%, $F$11)</f>
        <v>6.6210000000000004</v>
      </c>
      <c r="G106" s="8">
        <f>CHOOSE( CONTROL!$C$32, 5.7562, 5.7539) * CHOOSE( CONTROL!$C$15, $D$11, 100%, $F$11)</f>
        <v>5.7561999999999998</v>
      </c>
      <c r="H106" s="4">
        <f>CHOOSE( CONTROL!$C$32, 6.7075, 6.7053) * CHOOSE(CONTROL!$C$15, $D$11, 100%, $F$11)</f>
        <v>6.7074999999999996</v>
      </c>
      <c r="I106" s="8">
        <f>CHOOSE( CONTROL!$C$32, 5.7589, 5.7567) * CHOOSE(CONTROL!$C$15, $D$11, 100%, $F$11)</f>
        <v>5.7588999999999997</v>
      </c>
      <c r="J106" s="4">
        <f>CHOOSE( CONTROL!$C$32, 5.6427, 5.6405) * CHOOSE(CONTROL!$C$15, $D$11, 100%, $F$11)</f>
        <v>5.6426999999999996</v>
      </c>
      <c r="K106" s="4"/>
      <c r="L106" s="9">
        <v>29.7257</v>
      </c>
      <c r="M106" s="9">
        <v>11.6745</v>
      </c>
      <c r="N106" s="9">
        <v>4.7850000000000001</v>
      </c>
      <c r="O106" s="9">
        <v>0.36199999999999999</v>
      </c>
      <c r="P106" s="9">
        <v>1.1791</v>
      </c>
      <c r="Q106" s="9">
        <v>31.753799999999998</v>
      </c>
      <c r="R106" s="9"/>
      <c r="S106" s="11"/>
    </row>
    <row r="107" spans="1:19" ht="15.75">
      <c r="A107" s="13">
        <v>44743</v>
      </c>
      <c r="B107" s="8">
        <f>CHOOSE( CONTROL!$C$32, 6.1449, 6.1426) * CHOOSE(CONTROL!$C$15, $D$11, 100%, $F$11)</f>
        <v>6.1448999999999998</v>
      </c>
      <c r="C107" s="8">
        <f>CHOOSE( CONTROL!$C$32, 6.1555, 6.1532) * CHOOSE(CONTROL!$C$15, $D$11, 100%, $F$11)</f>
        <v>6.1555</v>
      </c>
      <c r="D107" s="8">
        <f>CHOOSE( CONTROL!$C$32, 6.1897, 6.1874) * CHOOSE( CONTROL!$C$15, $D$11, 100%, $F$11)</f>
        <v>6.1897000000000002</v>
      </c>
      <c r="E107" s="12">
        <f>CHOOSE( CONTROL!$C$32, 6.1757, 6.1734) * CHOOSE( CONTROL!$C$15, $D$11, 100%, $F$11)</f>
        <v>6.1757</v>
      </c>
      <c r="F107" s="4">
        <f>CHOOSE( CONTROL!$C$32, 6.8738, 6.8715) * CHOOSE(CONTROL!$C$15, $D$11, 100%, $F$11)</f>
        <v>6.8738000000000001</v>
      </c>
      <c r="G107" s="8">
        <f>CHOOSE( CONTROL!$C$32, 6.0036, 6.0014) * CHOOSE( CONTROL!$C$15, $D$11, 100%, $F$11)</f>
        <v>6.0035999999999996</v>
      </c>
      <c r="H107" s="4">
        <f>CHOOSE( CONTROL!$C$32, 6.9547, 6.9524) * CHOOSE(CONTROL!$C$15, $D$11, 100%, $F$11)</f>
        <v>6.9546999999999999</v>
      </c>
      <c r="I107" s="8">
        <f>CHOOSE( CONTROL!$C$32, 6.0027, 6.0005) * CHOOSE(CONTROL!$C$15, $D$11, 100%, $F$11)</f>
        <v>6.0026999999999999</v>
      </c>
      <c r="J107" s="4">
        <f>CHOOSE( CONTROL!$C$32, 5.8854, 5.8832) * CHOOSE(CONTROL!$C$15, $D$11, 100%, $F$11)</f>
        <v>5.8853999999999997</v>
      </c>
      <c r="K107" s="4"/>
      <c r="L107" s="9">
        <v>30.7165</v>
      </c>
      <c r="M107" s="9">
        <v>12.063700000000001</v>
      </c>
      <c r="N107" s="9">
        <v>4.9444999999999997</v>
      </c>
      <c r="O107" s="9">
        <v>0.37409999999999999</v>
      </c>
      <c r="P107" s="9">
        <v>1.2183999999999999</v>
      </c>
      <c r="Q107" s="9">
        <v>32.8123</v>
      </c>
      <c r="R107" s="9"/>
      <c r="S107" s="11"/>
    </row>
    <row r="108" spans="1:19" ht="15.75">
      <c r="A108" s="13">
        <v>44774</v>
      </c>
      <c r="B108" s="8">
        <f>CHOOSE( CONTROL!$C$32, 5.6719, 5.6696) * CHOOSE(CONTROL!$C$15, $D$11, 100%, $F$11)</f>
        <v>5.6718999999999999</v>
      </c>
      <c r="C108" s="8">
        <f>CHOOSE( CONTROL!$C$32, 5.6824, 5.6801) * CHOOSE(CONTROL!$C$15, $D$11, 100%, $F$11)</f>
        <v>5.6824000000000003</v>
      </c>
      <c r="D108" s="8">
        <f>CHOOSE( CONTROL!$C$32, 5.7167, 5.7144) * CHOOSE( CONTROL!$C$15, $D$11, 100%, $F$11)</f>
        <v>5.7167000000000003</v>
      </c>
      <c r="E108" s="12">
        <f>CHOOSE( CONTROL!$C$32, 5.7027, 5.7004) * CHOOSE( CONTROL!$C$15, $D$11, 100%, $F$11)</f>
        <v>5.7027000000000001</v>
      </c>
      <c r="F108" s="4">
        <f>CHOOSE( CONTROL!$C$32, 6.4008, 6.3985) * CHOOSE(CONTROL!$C$15, $D$11, 100%, $F$11)</f>
        <v>6.4008000000000003</v>
      </c>
      <c r="G108" s="8">
        <f>CHOOSE( CONTROL!$C$32, 5.5413, 5.539) * CHOOSE( CONTROL!$C$15, $D$11, 100%, $F$11)</f>
        <v>5.5412999999999997</v>
      </c>
      <c r="H108" s="4">
        <f>CHOOSE( CONTROL!$C$32, 6.4922, 6.49) * CHOOSE(CONTROL!$C$15, $D$11, 100%, $F$11)</f>
        <v>6.4922000000000004</v>
      </c>
      <c r="I108" s="8">
        <f>CHOOSE( CONTROL!$C$32, 5.5487, 5.5464) * CHOOSE(CONTROL!$C$15, $D$11, 100%, $F$11)</f>
        <v>5.5487000000000002</v>
      </c>
      <c r="J108" s="4">
        <f>CHOOSE( CONTROL!$C$32, 5.4312, 5.429) * CHOOSE(CONTROL!$C$15, $D$11, 100%, $F$11)</f>
        <v>5.4311999999999996</v>
      </c>
      <c r="K108" s="4"/>
      <c r="L108" s="9">
        <v>30.7165</v>
      </c>
      <c r="M108" s="9">
        <v>12.063700000000001</v>
      </c>
      <c r="N108" s="9">
        <v>4.9444999999999997</v>
      </c>
      <c r="O108" s="9">
        <v>0.37409999999999999</v>
      </c>
      <c r="P108" s="9">
        <v>1.2183999999999999</v>
      </c>
      <c r="Q108" s="9">
        <v>32.8123</v>
      </c>
      <c r="R108" s="9"/>
      <c r="S108" s="11"/>
    </row>
    <row r="109" spans="1:19" ht="15.75">
      <c r="A109" s="13">
        <v>44805</v>
      </c>
      <c r="B109" s="8">
        <f>CHOOSE( CONTROL!$C$32, 5.5534, 5.5511) * CHOOSE(CONTROL!$C$15, $D$11, 100%, $F$11)</f>
        <v>5.5533999999999999</v>
      </c>
      <c r="C109" s="8">
        <f>CHOOSE( CONTROL!$C$32, 5.564, 5.5617) * CHOOSE(CONTROL!$C$15, $D$11, 100%, $F$11)</f>
        <v>5.5640000000000001</v>
      </c>
      <c r="D109" s="8">
        <f>CHOOSE( CONTROL!$C$32, 5.5982, 5.5959) * CHOOSE( CONTROL!$C$15, $D$11, 100%, $F$11)</f>
        <v>5.5982000000000003</v>
      </c>
      <c r="E109" s="12">
        <f>CHOOSE( CONTROL!$C$32, 5.5842, 5.5819) * CHOOSE( CONTROL!$C$15, $D$11, 100%, $F$11)</f>
        <v>5.5842000000000001</v>
      </c>
      <c r="F109" s="4">
        <f>CHOOSE( CONTROL!$C$32, 6.2824, 6.2801) * CHOOSE(CONTROL!$C$15, $D$11, 100%, $F$11)</f>
        <v>6.2824</v>
      </c>
      <c r="G109" s="8">
        <f>CHOOSE( CONTROL!$C$32, 5.4254, 5.4232) * CHOOSE( CONTROL!$C$15, $D$11, 100%, $F$11)</f>
        <v>5.4253999999999998</v>
      </c>
      <c r="H109" s="4">
        <f>CHOOSE( CONTROL!$C$32, 6.3764, 6.3742) * CHOOSE(CONTROL!$C$15, $D$11, 100%, $F$11)</f>
        <v>6.3764000000000003</v>
      </c>
      <c r="I109" s="8">
        <f>CHOOSE( CONTROL!$C$32, 5.4347, 5.4325) * CHOOSE(CONTROL!$C$15, $D$11, 100%, $F$11)</f>
        <v>5.4347000000000003</v>
      </c>
      <c r="J109" s="4">
        <f>CHOOSE( CONTROL!$C$32, 5.3175, 5.3153) * CHOOSE(CONTROL!$C$15, $D$11, 100%, $F$11)</f>
        <v>5.3174999999999999</v>
      </c>
      <c r="K109" s="4"/>
      <c r="L109" s="9">
        <v>29.7257</v>
      </c>
      <c r="M109" s="9">
        <v>11.6745</v>
      </c>
      <c r="N109" s="9">
        <v>4.7850000000000001</v>
      </c>
      <c r="O109" s="9">
        <v>0.36199999999999999</v>
      </c>
      <c r="P109" s="9">
        <v>1.1791</v>
      </c>
      <c r="Q109" s="9">
        <v>31.753799999999998</v>
      </c>
      <c r="R109" s="9"/>
      <c r="S109" s="11"/>
    </row>
    <row r="110" spans="1:19" ht="15.75">
      <c r="A110" s="13">
        <v>44835</v>
      </c>
      <c r="B110" s="8">
        <f>5.7972 * CHOOSE(CONTROL!$C$15, $D$11, 100%, $F$11)</f>
        <v>5.7972000000000001</v>
      </c>
      <c r="C110" s="8">
        <f>5.8079 * CHOOSE(CONTROL!$C$15, $D$11, 100%, $F$11)</f>
        <v>5.8079000000000001</v>
      </c>
      <c r="D110" s="8">
        <f>5.8433 * CHOOSE( CONTROL!$C$15, $D$11, 100%, $F$11)</f>
        <v>5.8433000000000002</v>
      </c>
      <c r="E110" s="12">
        <f>5.8305 * CHOOSE( CONTROL!$C$15, $D$11, 100%, $F$11)</f>
        <v>5.8304999999999998</v>
      </c>
      <c r="F110" s="4">
        <f>6.526 * CHOOSE(CONTROL!$C$15, $D$11, 100%, $F$11)</f>
        <v>6.5259999999999998</v>
      </c>
      <c r="G110" s="8">
        <f>5.6634 * CHOOSE( CONTROL!$C$15, $D$11, 100%, $F$11)</f>
        <v>5.6634000000000002</v>
      </c>
      <c r="H110" s="4">
        <f>6.6146 * CHOOSE(CONTROL!$C$15, $D$11, 100%, $F$11)</f>
        <v>6.6146000000000003</v>
      </c>
      <c r="I110" s="8">
        <f>5.6697 * CHOOSE(CONTROL!$C$15, $D$11, 100%, $F$11)</f>
        <v>5.6696999999999997</v>
      </c>
      <c r="J110" s="4">
        <f>5.5514 * CHOOSE(CONTROL!$C$15, $D$11, 100%, $F$11)</f>
        <v>5.5514000000000001</v>
      </c>
      <c r="K110" s="4"/>
      <c r="L110" s="9">
        <v>31.095300000000002</v>
      </c>
      <c r="M110" s="9">
        <v>12.063700000000001</v>
      </c>
      <c r="N110" s="9">
        <v>4.9444999999999997</v>
      </c>
      <c r="O110" s="9">
        <v>0.37409999999999999</v>
      </c>
      <c r="P110" s="9">
        <v>1.2183999999999999</v>
      </c>
      <c r="Q110" s="9">
        <v>32.8123</v>
      </c>
      <c r="R110" s="9"/>
      <c r="S110" s="11"/>
    </row>
    <row r="111" spans="1:19" ht="15.75">
      <c r="A111" s="13">
        <v>44866</v>
      </c>
      <c r="B111" s="8">
        <f>6.2512 * CHOOSE(CONTROL!$C$15, $D$11, 100%, $F$11)</f>
        <v>6.2511999999999999</v>
      </c>
      <c r="C111" s="8">
        <f>6.2619 * CHOOSE(CONTROL!$C$15, $D$11, 100%, $F$11)</f>
        <v>6.2618999999999998</v>
      </c>
      <c r="D111" s="8">
        <f>6.238 * CHOOSE( CONTROL!$C$15, $D$11, 100%, $F$11)</f>
        <v>6.2380000000000004</v>
      </c>
      <c r="E111" s="12">
        <f>6.2456 * CHOOSE( CONTROL!$C$15, $D$11, 100%, $F$11)</f>
        <v>6.2455999999999996</v>
      </c>
      <c r="F111" s="4">
        <f>6.9123 * CHOOSE(CONTROL!$C$15, $D$11, 100%, $F$11)</f>
        <v>6.9123000000000001</v>
      </c>
      <c r="G111" s="8">
        <f>6.1072 * CHOOSE( CONTROL!$C$15, $D$11, 100%, $F$11)</f>
        <v>6.1071999999999997</v>
      </c>
      <c r="H111" s="4">
        <f>6.9922 * CHOOSE(CONTROL!$C$15, $D$11, 100%, $F$11)</f>
        <v>6.9922000000000004</v>
      </c>
      <c r="I111" s="8">
        <f>6.1491 * CHOOSE(CONTROL!$C$15, $D$11, 100%, $F$11)</f>
        <v>6.1490999999999998</v>
      </c>
      <c r="J111" s="4">
        <f>5.9873 * CHOOSE(CONTROL!$C$15, $D$11, 100%, $F$11)</f>
        <v>5.9873000000000003</v>
      </c>
      <c r="K111" s="4"/>
      <c r="L111" s="9">
        <v>28.360600000000002</v>
      </c>
      <c r="M111" s="9">
        <v>11.6745</v>
      </c>
      <c r="N111" s="9">
        <v>4.7850000000000001</v>
      </c>
      <c r="O111" s="9">
        <v>0.36199999999999999</v>
      </c>
      <c r="P111" s="9">
        <v>1.2509999999999999</v>
      </c>
      <c r="Q111" s="9">
        <v>31.753799999999998</v>
      </c>
      <c r="R111" s="9"/>
      <c r="S111" s="11"/>
    </row>
    <row r="112" spans="1:19" ht="15.75">
      <c r="A112" s="13">
        <v>44896</v>
      </c>
      <c r="B112" s="8">
        <f>6.2398 * CHOOSE(CONTROL!$C$15, $D$11, 100%, $F$11)</f>
        <v>6.2397999999999998</v>
      </c>
      <c r="C112" s="8">
        <f>6.2506 * CHOOSE(CONTROL!$C$15, $D$11, 100%, $F$11)</f>
        <v>6.2506000000000004</v>
      </c>
      <c r="D112" s="8">
        <f>6.2283 * CHOOSE( CONTROL!$C$15, $D$11, 100%, $F$11)</f>
        <v>6.2282999999999999</v>
      </c>
      <c r="E112" s="12">
        <f>6.2353 * CHOOSE( CONTROL!$C$15, $D$11, 100%, $F$11)</f>
        <v>6.2352999999999996</v>
      </c>
      <c r="F112" s="4">
        <f>6.9009 * CHOOSE(CONTROL!$C$15, $D$11, 100%, $F$11)</f>
        <v>6.9009</v>
      </c>
      <c r="G112" s="8">
        <f>6.0974 * CHOOSE( CONTROL!$C$15, $D$11, 100%, $F$11)</f>
        <v>6.0974000000000004</v>
      </c>
      <c r="H112" s="4">
        <f>6.9811 * CHOOSE(CONTROL!$C$15, $D$11, 100%, $F$11)</f>
        <v>6.9810999999999996</v>
      </c>
      <c r="I112" s="8">
        <f>6.1433 * CHOOSE(CONTROL!$C$15, $D$11, 100%, $F$11)</f>
        <v>6.1433</v>
      </c>
      <c r="J112" s="4">
        <f>5.9764 * CHOOSE(CONTROL!$C$15, $D$11, 100%, $F$11)</f>
        <v>5.9763999999999999</v>
      </c>
      <c r="K112" s="4"/>
      <c r="L112" s="9">
        <v>29.306000000000001</v>
      </c>
      <c r="M112" s="9">
        <v>12.063700000000001</v>
      </c>
      <c r="N112" s="9">
        <v>4.9444999999999997</v>
      </c>
      <c r="O112" s="9">
        <v>0.37409999999999999</v>
      </c>
      <c r="P112" s="9">
        <v>1.2927</v>
      </c>
      <c r="Q112" s="9">
        <v>32.8123</v>
      </c>
      <c r="R112" s="9"/>
      <c r="S112" s="11"/>
    </row>
    <row r="113" spans="1:19" ht="15.75">
      <c r="A113" s="13">
        <v>44927</v>
      </c>
      <c r="B113" s="8">
        <f>6.534 * CHOOSE(CONTROL!$C$15, $D$11, 100%, $F$11)</f>
        <v>6.5339999999999998</v>
      </c>
      <c r="C113" s="8">
        <f>6.5448 * CHOOSE(CONTROL!$C$15, $D$11, 100%, $F$11)</f>
        <v>6.5448000000000004</v>
      </c>
      <c r="D113" s="8">
        <f>6.5264 * CHOOSE( CONTROL!$C$15, $D$11, 100%, $F$11)</f>
        <v>6.5263999999999998</v>
      </c>
      <c r="E113" s="12">
        <f>6.532 * CHOOSE( CONTROL!$C$15, $D$11, 100%, $F$11)</f>
        <v>6.532</v>
      </c>
      <c r="F113" s="4">
        <f>7.1951 * CHOOSE(CONTROL!$C$15, $D$11, 100%, $F$11)</f>
        <v>7.1951000000000001</v>
      </c>
      <c r="G113" s="8">
        <f>6.3806 * CHOOSE( CONTROL!$C$15, $D$11, 100%, $F$11)</f>
        <v>6.3806000000000003</v>
      </c>
      <c r="H113" s="4">
        <f>7.2688 * CHOOSE(CONTROL!$C$15, $D$11, 100%, $F$11)</f>
        <v>7.2687999999999997</v>
      </c>
      <c r="I113" s="8">
        <f>6.3813 * CHOOSE(CONTROL!$C$15, $D$11, 100%, $F$11)</f>
        <v>6.3813000000000004</v>
      </c>
      <c r="J113" s="4">
        <f>6.2589 * CHOOSE(CONTROL!$C$15, $D$11, 100%, $F$11)</f>
        <v>6.2588999999999997</v>
      </c>
      <c r="K113" s="4"/>
      <c r="L113" s="9">
        <v>29.306000000000001</v>
      </c>
      <c r="M113" s="9">
        <v>12.063700000000001</v>
      </c>
      <c r="N113" s="9">
        <v>4.9444999999999997</v>
      </c>
      <c r="O113" s="9">
        <v>0.37409999999999999</v>
      </c>
      <c r="P113" s="9">
        <v>1.2927</v>
      </c>
      <c r="Q113" s="9">
        <v>32.624400000000001</v>
      </c>
      <c r="R113" s="9"/>
      <c r="S113" s="11"/>
    </row>
    <row r="114" spans="1:19" ht="15.75">
      <c r="A114" s="13">
        <v>44958</v>
      </c>
      <c r="B114" s="8">
        <f>6.1126 * CHOOSE(CONTROL!$C$15, $D$11, 100%, $F$11)</f>
        <v>6.1125999999999996</v>
      </c>
      <c r="C114" s="8">
        <f>6.1233 * CHOOSE(CONTROL!$C$15, $D$11, 100%, $F$11)</f>
        <v>6.1233000000000004</v>
      </c>
      <c r="D114" s="8">
        <f>6.1048 * CHOOSE( CONTROL!$C$15, $D$11, 100%, $F$11)</f>
        <v>6.1048</v>
      </c>
      <c r="E114" s="12">
        <f>6.1104 * CHOOSE( CONTROL!$C$15, $D$11, 100%, $F$11)</f>
        <v>6.1104000000000003</v>
      </c>
      <c r="F114" s="4">
        <f>6.7737 * CHOOSE(CONTROL!$C$15, $D$11, 100%, $F$11)</f>
        <v>6.7736999999999998</v>
      </c>
      <c r="G114" s="8">
        <f>5.9685 * CHOOSE( CONTROL!$C$15, $D$11, 100%, $F$11)</f>
        <v>5.9684999999999997</v>
      </c>
      <c r="H114" s="4">
        <f>6.8568 * CHOOSE(CONTROL!$C$15, $D$11, 100%, $F$11)</f>
        <v>6.8567999999999998</v>
      </c>
      <c r="I114" s="8">
        <f>5.976 * CHOOSE(CONTROL!$C$15, $D$11, 100%, $F$11)</f>
        <v>5.976</v>
      </c>
      <c r="J114" s="4">
        <f>5.8542 * CHOOSE(CONTROL!$C$15, $D$11, 100%, $F$11)</f>
        <v>5.8541999999999996</v>
      </c>
      <c r="K114" s="4"/>
      <c r="L114" s="9">
        <v>26.469899999999999</v>
      </c>
      <c r="M114" s="9">
        <v>10.8962</v>
      </c>
      <c r="N114" s="9">
        <v>4.4660000000000002</v>
      </c>
      <c r="O114" s="9">
        <v>0.33789999999999998</v>
      </c>
      <c r="P114" s="9">
        <v>1.1676</v>
      </c>
      <c r="Q114" s="9">
        <v>29.467199999999998</v>
      </c>
      <c r="R114" s="9"/>
      <c r="S114" s="11"/>
    </row>
    <row r="115" spans="1:19" ht="15.75">
      <c r="A115" s="13">
        <v>44986</v>
      </c>
      <c r="B115" s="8">
        <f>5.9828 * CHOOSE(CONTROL!$C$15, $D$11, 100%, $F$11)</f>
        <v>5.9828000000000001</v>
      </c>
      <c r="C115" s="8">
        <f>5.9935 * CHOOSE(CONTROL!$C$15, $D$11, 100%, $F$11)</f>
        <v>5.9935</v>
      </c>
      <c r="D115" s="8">
        <f>5.9745 * CHOOSE( CONTROL!$C$15, $D$11, 100%, $F$11)</f>
        <v>5.9744999999999999</v>
      </c>
      <c r="E115" s="12">
        <f>5.9803 * CHOOSE( CONTROL!$C$15, $D$11, 100%, $F$11)</f>
        <v>5.9802999999999997</v>
      </c>
      <c r="F115" s="4">
        <f>6.6439 * CHOOSE(CONTROL!$C$15, $D$11, 100%, $F$11)</f>
        <v>6.6439000000000004</v>
      </c>
      <c r="G115" s="8">
        <f>5.8412 * CHOOSE( CONTROL!$C$15, $D$11, 100%, $F$11)</f>
        <v>5.8411999999999997</v>
      </c>
      <c r="H115" s="4">
        <f>6.7299 * CHOOSE(CONTROL!$C$15, $D$11, 100%, $F$11)</f>
        <v>6.7298999999999998</v>
      </c>
      <c r="I115" s="8">
        <f>5.8498 * CHOOSE(CONTROL!$C$15, $D$11, 100%, $F$11)</f>
        <v>5.8498000000000001</v>
      </c>
      <c r="J115" s="4">
        <f>5.7296 * CHOOSE(CONTROL!$C$15, $D$11, 100%, $F$11)</f>
        <v>5.7295999999999996</v>
      </c>
      <c r="K115" s="4"/>
      <c r="L115" s="9">
        <v>29.306000000000001</v>
      </c>
      <c r="M115" s="9">
        <v>12.063700000000001</v>
      </c>
      <c r="N115" s="9">
        <v>4.9444999999999997</v>
      </c>
      <c r="O115" s="9">
        <v>0.37409999999999999</v>
      </c>
      <c r="P115" s="9">
        <v>1.2927</v>
      </c>
      <c r="Q115" s="9">
        <v>32.624400000000001</v>
      </c>
      <c r="R115" s="9"/>
      <c r="S115" s="11"/>
    </row>
    <row r="116" spans="1:19" ht="15.75">
      <c r="A116" s="13">
        <v>45017</v>
      </c>
      <c r="B116" s="8">
        <f>6.0734 * CHOOSE(CONTROL!$C$15, $D$11, 100%, $F$11)</f>
        <v>6.0734000000000004</v>
      </c>
      <c r="C116" s="8">
        <f>6.0842 * CHOOSE(CONTROL!$C$15, $D$11, 100%, $F$11)</f>
        <v>6.0842000000000001</v>
      </c>
      <c r="D116" s="8">
        <f>6.119 * CHOOSE( CONTROL!$C$15, $D$11, 100%, $F$11)</f>
        <v>6.1189999999999998</v>
      </c>
      <c r="E116" s="12">
        <f>6.1063 * CHOOSE( CONTROL!$C$15, $D$11, 100%, $F$11)</f>
        <v>6.1063000000000001</v>
      </c>
      <c r="F116" s="4">
        <f>6.8023 * CHOOSE(CONTROL!$C$15, $D$11, 100%, $F$11)</f>
        <v>6.8022999999999998</v>
      </c>
      <c r="G116" s="8">
        <f>5.9327 * CHOOSE( CONTROL!$C$15, $D$11, 100%, $F$11)</f>
        <v>5.9326999999999996</v>
      </c>
      <c r="H116" s="4">
        <f>6.8847 * CHOOSE(CONTROL!$C$15, $D$11, 100%, $F$11)</f>
        <v>6.8846999999999996</v>
      </c>
      <c r="I116" s="8">
        <f>5.9322 * CHOOSE(CONTROL!$C$15, $D$11, 100%, $F$11)</f>
        <v>5.9321999999999999</v>
      </c>
      <c r="J116" s="4">
        <f>5.8167 * CHOOSE(CONTROL!$C$15, $D$11, 100%, $F$11)</f>
        <v>5.8167</v>
      </c>
      <c r="K116" s="4"/>
      <c r="L116" s="9">
        <v>30.092199999999998</v>
      </c>
      <c r="M116" s="9">
        <v>11.6745</v>
      </c>
      <c r="N116" s="9">
        <v>4.7850000000000001</v>
      </c>
      <c r="O116" s="9">
        <v>0.36199999999999999</v>
      </c>
      <c r="P116" s="9">
        <v>1.1791</v>
      </c>
      <c r="Q116" s="9">
        <v>31.571999999999999</v>
      </c>
      <c r="R116" s="9"/>
      <c r="S116" s="11"/>
    </row>
    <row r="117" spans="1:19" ht="15.75">
      <c r="A117" s="13">
        <v>45047</v>
      </c>
      <c r="B117" s="8">
        <f>CHOOSE( CONTROL!$C$32, 6.2371, 6.2348) * CHOOSE(CONTROL!$C$15, $D$11, 100%, $F$11)</f>
        <v>6.2370999999999999</v>
      </c>
      <c r="C117" s="8">
        <f>CHOOSE( CONTROL!$C$32, 6.2477, 6.2453) * CHOOSE(CONTROL!$C$15, $D$11, 100%, $F$11)</f>
        <v>6.2477</v>
      </c>
      <c r="D117" s="8">
        <f>CHOOSE( CONTROL!$C$32, 6.2815, 6.2792) * CHOOSE( CONTROL!$C$15, $D$11, 100%, $F$11)</f>
        <v>6.2815000000000003</v>
      </c>
      <c r="E117" s="12">
        <f>CHOOSE( CONTROL!$C$32, 6.2676, 6.2653) * CHOOSE( CONTROL!$C$15, $D$11, 100%, $F$11)</f>
        <v>6.2675999999999998</v>
      </c>
      <c r="F117" s="4">
        <f>CHOOSE( CONTROL!$C$32, 6.966, 6.9637) * CHOOSE(CONTROL!$C$15, $D$11, 100%, $F$11)</f>
        <v>6.9660000000000002</v>
      </c>
      <c r="G117" s="8">
        <f>CHOOSE( CONTROL!$C$32, 6.0932, 6.091) * CHOOSE( CONTROL!$C$15, $D$11, 100%, $F$11)</f>
        <v>6.0932000000000004</v>
      </c>
      <c r="H117" s="4">
        <f>CHOOSE( CONTROL!$C$32, 7.0448, 7.0426) * CHOOSE(CONTROL!$C$15, $D$11, 100%, $F$11)</f>
        <v>7.0448000000000004</v>
      </c>
      <c r="I117" s="8">
        <f>CHOOSE( CONTROL!$C$32, 6.0896, 6.0874) * CHOOSE(CONTROL!$C$15, $D$11, 100%, $F$11)</f>
        <v>6.0895999999999999</v>
      </c>
      <c r="J117" s="4">
        <f>CHOOSE( CONTROL!$C$32, 5.9739, 5.9717) * CHOOSE(CONTROL!$C$15, $D$11, 100%, $F$11)</f>
        <v>5.9739000000000004</v>
      </c>
      <c r="K117" s="4"/>
      <c r="L117" s="9">
        <v>30.7165</v>
      </c>
      <c r="M117" s="9">
        <v>12.063700000000001</v>
      </c>
      <c r="N117" s="9">
        <v>4.9444999999999997</v>
      </c>
      <c r="O117" s="9">
        <v>0.37409999999999999</v>
      </c>
      <c r="P117" s="9">
        <v>1.2183999999999999</v>
      </c>
      <c r="Q117" s="9">
        <v>32.624400000000001</v>
      </c>
      <c r="R117" s="9"/>
      <c r="S117" s="11"/>
    </row>
    <row r="118" spans="1:19" ht="15.75">
      <c r="A118" s="13">
        <v>45078</v>
      </c>
      <c r="B118" s="8">
        <f>CHOOSE( CONTROL!$C$32, 6.1371, 6.1348) * CHOOSE(CONTROL!$C$15, $D$11, 100%, $F$11)</f>
        <v>6.1371000000000002</v>
      </c>
      <c r="C118" s="8">
        <f>CHOOSE( CONTROL!$C$32, 6.1476, 6.1453) * CHOOSE(CONTROL!$C$15, $D$11, 100%, $F$11)</f>
        <v>6.1475999999999997</v>
      </c>
      <c r="D118" s="8">
        <f>CHOOSE( CONTROL!$C$32, 6.1816, 6.1793) * CHOOSE( CONTROL!$C$15, $D$11, 100%, $F$11)</f>
        <v>6.1816000000000004</v>
      </c>
      <c r="E118" s="12">
        <f>CHOOSE( CONTROL!$C$32, 6.1677, 6.1654) * CHOOSE( CONTROL!$C$15, $D$11, 100%, $F$11)</f>
        <v>6.1677</v>
      </c>
      <c r="F118" s="4">
        <f>CHOOSE( CONTROL!$C$32, 6.866, 6.8637) * CHOOSE(CONTROL!$C$15, $D$11, 100%, $F$11)</f>
        <v>6.8659999999999997</v>
      </c>
      <c r="G118" s="8">
        <f>CHOOSE( CONTROL!$C$32, 5.9957, 5.9934) * CHOOSE( CONTROL!$C$15, $D$11, 100%, $F$11)</f>
        <v>5.9957000000000003</v>
      </c>
      <c r="H118" s="4">
        <f>CHOOSE( CONTROL!$C$32, 6.947, 6.9448) * CHOOSE(CONTROL!$C$15, $D$11, 100%, $F$11)</f>
        <v>6.9470000000000001</v>
      </c>
      <c r="I118" s="8">
        <f>CHOOSE( CONTROL!$C$32, 5.9943, 5.9921) * CHOOSE(CONTROL!$C$15, $D$11, 100%, $F$11)</f>
        <v>5.9943</v>
      </c>
      <c r="J118" s="4">
        <f>CHOOSE( CONTROL!$C$32, 5.8779, 5.8757) * CHOOSE(CONTROL!$C$15, $D$11, 100%, $F$11)</f>
        <v>5.8779000000000003</v>
      </c>
      <c r="K118" s="4"/>
      <c r="L118" s="9">
        <v>29.7257</v>
      </c>
      <c r="M118" s="9">
        <v>11.6745</v>
      </c>
      <c r="N118" s="9">
        <v>4.7850000000000001</v>
      </c>
      <c r="O118" s="9">
        <v>0.36199999999999999</v>
      </c>
      <c r="P118" s="9">
        <v>1.1791</v>
      </c>
      <c r="Q118" s="9">
        <v>31.571999999999999</v>
      </c>
      <c r="R118" s="9"/>
      <c r="S118" s="11"/>
    </row>
    <row r="119" spans="1:19" ht="15.75">
      <c r="A119" s="13">
        <v>45108</v>
      </c>
      <c r="B119" s="8">
        <f>CHOOSE( CONTROL!$C$32, 6.4004, 6.3981) * CHOOSE(CONTROL!$C$15, $D$11, 100%, $F$11)</f>
        <v>6.4004000000000003</v>
      </c>
      <c r="C119" s="8">
        <f>CHOOSE( CONTROL!$C$32, 6.411, 6.4087) * CHOOSE(CONTROL!$C$15, $D$11, 100%, $F$11)</f>
        <v>6.4109999999999996</v>
      </c>
      <c r="D119" s="8">
        <f>CHOOSE( CONTROL!$C$32, 6.4452, 6.4429) * CHOOSE( CONTROL!$C$15, $D$11, 100%, $F$11)</f>
        <v>6.4451999999999998</v>
      </c>
      <c r="E119" s="12">
        <f>CHOOSE( CONTROL!$C$32, 6.4312, 6.4289) * CHOOSE( CONTROL!$C$15, $D$11, 100%, $F$11)</f>
        <v>6.4311999999999996</v>
      </c>
      <c r="F119" s="4">
        <f>CHOOSE( CONTROL!$C$32, 7.1294, 7.1271) * CHOOSE(CONTROL!$C$15, $D$11, 100%, $F$11)</f>
        <v>7.1294000000000004</v>
      </c>
      <c r="G119" s="8">
        <f>CHOOSE( CONTROL!$C$32, 6.2535, 6.2512) * CHOOSE( CONTROL!$C$15, $D$11, 100%, $F$11)</f>
        <v>6.2534999999999998</v>
      </c>
      <c r="H119" s="4">
        <f>CHOOSE( CONTROL!$C$32, 7.2045, 7.2023) * CHOOSE(CONTROL!$C$15, $D$11, 100%, $F$11)</f>
        <v>7.2045000000000003</v>
      </c>
      <c r="I119" s="8">
        <f>CHOOSE( CONTROL!$C$32, 6.2482, 6.246) * CHOOSE(CONTROL!$C$15, $D$11, 100%, $F$11)</f>
        <v>6.2481999999999998</v>
      </c>
      <c r="J119" s="4">
        <f>CHOOSE( CONTROL!$C$32, 6.1307, 6.1285) * CHOOSE(CONTROL!$C$15, $D$11, 100%, $F$11)</f>
        <v>6.1307</v>
      </c>
      <c r="K119" s="4"/>
      <c r="L119" s="9">
        <v>30.7165</v>
      </c>
      <c r="M119" s="9">
        <v>12.063700000000001</v>
      </c>
      <c r="N119" s="9">
        <v>4.9444999999999997</v>
      </c>
      <c r="O119" s="9">
        <v>0.37409999999999999</v>
      </c>
      <c r="P119" s="9">
        <v>1.2183999999999999</v>
      </c>
      <c r="Q119" s="9">
        <v>32.624400000000001</v>
      </c>
      <c r="R119" s="9"/>
      <c r="S119" s="11"/>
    </row>
    <row r="120" spans="1:19" ht="15.75">
      <c r="A120" s="13">
        <v>45139</v>
      </c>
      <c r="B120" s="8">
        <f>CHOOSE( CONTROL!$C$32, 5.9077, 5.9054) * CHOOSE(CONTROL!$C$15, $D$11, 100%, $F$11)</f>
        <v>5.9077000000000002</v>
      </c>
      <c r="C120" s="8">
        <f>CHOOSE( CONTROL!$C$32, 5.9183, 5.916) * CHOOSE(CONTROL!$C$15, $D$11, 100%, $F$11)</f>
        <v>5.9183000000000003</v>
      </c>
      <c r="D120" s="8">
        <f>CHOOSE( CONTROL!$C$32, 5.9525, 5.9502) * CHOOSE( CONTROL!$C$15, $D$11, 100%, $F$11)</f>
        <v>5.9524999999999997</v>
      </c>
      <c r="E120" s="12">
        <f>CHOOSE( CONTROL!$C$32, 5.9385, 5.9362) * CHOOSE( CONTROL!$C$15, $D$11, 100%, $F$11)</f>
        <v>5.9385000000000003</v>
      </c>
      <c r="F120" s="4">
        <f>CHOOSE( CONTROL!$C$32, 6.6366, 6.6343) * CHOOSE(CONTROL!$C$15, $D$11, 100%, $F$11)</f>
        <v>6.6365999999999996</v>
      </c>
      <c r="G120" s="8">
        <f>CHOOSE( CONTROL!$C$32, 5.7718, 5.7696) * CHOOSE( CONTROL!$C$15, $D$11, 100%, $F$11)</f>
        <v>5.7717999999999998</v>
      </c>
      <c r="H120" s="4">
        <f>CHOOSE( CONTROL!$C$32, 6.7228, 6.7205) * CHOOSE(CONTROL!$C$15, $D$11, 100%, $F$11)</f>
        <v>6.7228000000000003</v>
      </c>
      <c r="I120" s="8">
        <f>CHOOSE( CONTROL!$C$32, 5.7752, 5.773) * CHOOSE(CONTROL!$C$15, $D$11, 100%, $F$11)</f>
        <v>5.7751999999999999</v>
      </c>
      <c r="J120" s="4">
        <f>CHOOSE( CONTROL!$C$32, 5.6576, 5.6554) * CHOOSE(CONTROL!$C$15, $D$11, 100%, $F$11)</f>
        <v>5.6576000000000004</v>
      </c>
      <c r="K120" s="4"/>
      <c r="L120" s="9">
        <v>30.7165</v>
      </c>
      <c r="M120" s="9">
        <v>12.063700000000001</v>
      </c>
      <c r="N120" s="9">
        <v>4.9444999999999997</v>
      </c>
      <c r="O120" s="9">
        <v>0.37409999999999999</v>
      </c>
      <c r="P120" s="9">
        <v>1.2183999999999999</v>
      </c>
      <c r="Q120" s="9">
        <v>32.624400000000001</v>
      </c>
      <c r="R120" s="9"/>
      <c r="S120" s="11"/>
    </row>
    <row r="121" spans="1:19" ht="15.75">
      <c r="A121" s="13">
        <v>45170</v>
      </c>
      <c r="B121" s="8">
        <f>CHOOSE( CONTROL!$C$32, 5.7843, 5.782) * CHOOSE(CONTROL!$C$15, $D$11, 100%, $F$11)</f>
        <v>5.7843</v>
      </c>
      <c r="C121" s="8">
        <f>CHOOSE( CONTROL!$C$32, 5.7949, 5.7926) * CHOOSE(CONTROL!$C$15, $D$11, 100%, $F$11)</f>
        <v>5.7949000000000002</v>
      </c>
      <c r="D121" s="8">
        <f>CHOOSE( CONTROL!$C$32, 5.8291, 5.8268) * CHOOSE( CONTROL!$C$15, $D$11, 100%, $F$11)</f>
        <v>5.8291000000000004</v>
      </c>
      <c r="E121" s="12">
        <f>CHOOSE( CONTROL!$C$32, 5.8151, 5.8128) * CHOOSE( CONTROL!$C$15, $D$11, 100%, $F$11)</f>
        <v>5.8151000000000002</v>
      </c>
      <c r="F121" s="4">
        <f>CHOOSE( CONTROL!$C$32, 6.5132, 6.5109) * CHOOSE(CONTROL!$C$15, $D$11, 100%, $F$11)</f>
        <v>6.5132000000000003</v>
      </c>
      <c r="G121" s="8">
        <f>CHOOSE( CONTROL!$C$32, 5.6511, 5.6489) * CHOOSE( CONTROL!$C$15, $D$11, 100%, $F$11)</f>
        <v>5.6510999999999996</v>
      </c>
      <c r="H121" s="4">
        <f>CHOOSE( CONTROL!$C$32, 6.6021, 6.5999) * CHOOSE(CONTROL!$C$15, $D$11, 100%, $F$11)</f>
        <v>6.6021000000000001</v>
      </c>
      <c r="I121" s="8">
        <f>CHOOSE( CONTROL!$C$32, 5.6565, 5.6543) * CHOOSE(CONTROL!$C$15, $D$11, 100%, $F$11)</f>
        <v>5.6565000000000003</v>
      </c>
      <c r="J121" s="4">
        <f>CHOOSE( CONTROL!$C$32, 5.5392, 5.537) * CHOOSE(CONTROL!$C$15, $D$11, 100%, $F$11)</f>
        <v>5.5392000000000001</v>
      </c>
      <c r="K121" s="4"/>
      <c r="L121" s="9">
        <v>29.7257</v>
      </c>
      <c r="M121" s="9">
        <v>11.6745</v>
      </c>
      <c r="N121" s="9">
        <v>4.7850000000000001</v>
      </c>
      <c r="O121" s="9">
        <v>0.36199999999999999</v>
      </c>
      <c r="P121" s="9">
        <v>1.1791</v>
      </c>
      <c r="Q121" s="9">
        <v>31.571999999999999</v>
      </c>
      <c r="R121" s="9"/>
      <c r="S121" s="11"/>
    </row>
    <row r="122" spans="1:19" ht="15.75">
      <c r="A122" s="13">
        <v>45200</v>
      </c>
      <c r="B122" s="8">
        <f>6.0383 * CHOOSE(CONTROL!$C$15, $D$11, 100%, $F$11)</f>
        <v>6.0382999999999996</v>
      </c>
      <c r="C122" s="8">
        <f>6.049 * CHOOSE(CONTROL!$C$15, $D$11, 100%, $F$11)</f>
        <v>6.0490000000000004</v>
      </c>
      <c r="D122" s="8">
        <f>6.0845 * CHOOSE( CONTROL!$C$15, $D$11, 100%, $F$11)</f>
        <v>6.0845000000000002</v>
      </c>
      <c r="E122" s="12">
        <f>6.0716 * CHOOSE( CONTROL!$C$15, $D$11, 100%, $F$11)</f>
        <v>6.0716000000000001</v>
      </c>
      <c r="F122" s="4">
        <f>6.7671 * CHOOSE(CONTROL!$C$15, $D$11, 100%, $F$11)</f>
        <v>6.7671000000000001</v>
      </c>
      <c r="G122" s="8">
        <f>5.8992 * CHOOSE( CONTROL!$C$15, $D$11, 100%, $F$11)</f>
        <v>5.8992000000000004</v>
      </c>
      <c r="H122" s="4">
        <f>6.8504 * CHOOSE(CONTROL!$C$15, $D$11, 100%, $F$11)</f>
        <v>6.8503999999999996</v>
      </c>
      <c r="I122" s="8">
        <f>5.9013 * CHOOSE(CONTROL!$C$15, $D$11, 100%, $F$11)</f>
        <v>5.9013</v>
      </c>
      <c r="J122" s="4">
        <f>5.7829 * CHOOSE(CONTROL!$C$15, $D$11, 100%, $F$11)</f>
        <v>5.7828999999999997</v>
      </c>
      <c r="K122" s="4"/>
      <c r="L122" s="9">
        <v>31.095300000000002</v>
      </c>
      <c r="M122" s="9">
        <v>12.063700000000001</v>
      </c>
      <c r="N122" s="9">
        <v>4.9444999999999997</v>
      </c>
      <c r="O122" s="9">
        <v>0.37409999999999999</v>
      </c>
      <c r="P122" s="9">
        <v>1.2183999999999999</v>
      </c>
      <c r="Q122" s="9">
        <v>32.624400000000001</v>
      </c>
      <c r="R122" s="9"/>
      <c r="S122" s="11"/>
    </row>
    <row r="123" spans="1:19" ht="15.75">
      <c r="A123" s="13">
        <v>45231</v>
      </c>
      <c r="B123" s="8">
        <f>6.5112 * CHOOSE(CONTROL!$C$15, $D$11, 100%, $F$11)</f>
        <v>6.5111999999999997</v>
      </c>
      <c r="C123" s="8">
        <f>6.522 * CHOOSE(CONTROL!$C$15, $D$11, 100%, $F$11)</f>
        <v>6.5220000000000002</v>
      </c>
      <c r="D123" s="8">
        <f>6.498 * CHOOSE( CONTROL!$C$15, $D$11, 100%, $F$11)</f>
        <v>6.4980000000000002</v>
      </c>
      <c r="E123" s="12">
        <f>6.5056 * CHOOSE( CONTROL!$C$15, $D$11, 100%, $F$11)</f>
        <v>6.5056000000000003</v>
      </c>
      <c r="F123" s="4">
        <f>7.1723 * CHOOSE(CONTROL!$C$15, $D$11, 100%, $F$11)</f>
        <v>7.1722999999999999</v>
      </c>
      <c r="G123" s="8">
        <f>6.3615 * CHOOSE( CONTROL!$C$15, $D$11, 100%, $F$11)</f>
        <v>6.3615000000000004</v>
      </c>
      <c r="H123" s="4">
        <f>7.2465 * CHOOSE(CONTROL!$C$15, $D$11, 100%, $F$11)</f>
        <v>7.2465000000000002</v>
      </c>
      <c r="I123" s="8">
        <f>6.3989 * CHOOSE(CONTROL!$C$15, $D$11, 100%, $F$11)</f>
        <v>6.3989000000000003</v>
      </c>
      <c r="J123" s="4">
        <f>6.2369 * CHOOSE(CONTROL!$C$15, $D$11, 100%, $F$11)</f>
        <v>6.2369000000000003</v>
      </c>
      <c r="K123" s="4"/>
      <c r="L123" s="9">
        <v>28.360600000000002</v>
      </c>
      <c r="M123" s="9">
        <v>11.6745</v>
      </c>
      <c r="N123" s="9">
        <v>4.7850000000000001</v>
      </c>
      <c r="O123" s="9">
        <v>0.36199999999999999</v>
      </c>
      <c r="P123" s="9">
        <v>1.2509999999999999</v>
      </c>
      <c r="Q123" s="9">
        <v>31.571999999999999</v>
      </c>
      <c r="R123" s="9"/>
      <c r="S123" s="11"/>
    </row>
    <row r="124" spans="1:19" ht="15.75">
      <c r="A124" s="13">
        <v>45261</v>
      </c>
      <c r="B124" s="8">
        <f>6.4994 * CHOOSE(CONTROL!$C$15, $D$11, 100%, $F$11)</f>
        <v>6.4993999999999996</v>
      </c>
      <c r="C124" s="8">
        <f>6.5102 * CHOOSE(CONTROL!$C$15, $D$11, 100%, $F$11)</f>
        <v>6.5102000000000002</v>
      </c>
      <c r="D124" s="8">
        <f>6.4879 * CHOOSE( CONTROL!$C$15, $D$11, 100%, $F$11)</f>
        <v>6.4878999999999998</v>
      </c>
      <c r="E124" s="12">
        <f>6.4949 * CHOOSE( CONTROL!$C$15, $D$11, 100%, $F$11)</f>
        <v>6.4949000000000003</v>
      </c>
      <c r="F124" s="4">
        <f>7.1605 * CHOOSE(CONTROL!$C$15, $D$11, 100%, $F$11)</f>
        <v>7.1604999999999999</v>
      </c>
      <c r="G124" s="8">
        <f>6.3512 * CHOOSE( CONTROL!$C$15, $D$11, 100%, $F$11)</f>
        <v>6.3512000000000004</v>
      </c>
      <c r="H124" s="4">
        <f>7.2349 * CHOOSE(CONTROL!$C$15, $D$11, 100%, $F$11)</f>
        <v>7.2348999999999997</v>
      </c>
      <c r="I124" s="8">
        <f>6.3927 * CHOOSE(CONTROL!$C$15, $D$11, 100%, $F$11)</f>
        <v>6.3926999999999996</v>
      </c>
      <c r="J124" s="4">
        <f>6.2256 * CHOOSE(CONTROL!$C$15, $D$11, 100%, $F$11)</f>
        <v>6.2256</v>
      </c>
      <c r="K124" s="4"/>
      <c r="L124" s="9">
        <v>29.306000000000001</v>
      </c>
      <c r="M124" s="9">
        <v>12.063700000000001</v>
      </c>
      <c r="N124" s="9">
        <v>4.9444999999999997</v>
      </c>
      <c r="O124" s="9">
        <v>0.37409999999999999</v>
      </c>
      <c r="P124" s="9">
        <v>1.2927</v>
      </c>
      <c r="Q124" s="9">
        <v>32.624400000000001</v>
      </c>
      <c r="R124" s="9"/>
      <c r="S124" s="11"/>
    </row>
    <row r="125" spans="1:19" ht="15.75">
      <c r="A125" s="13">
        <v>45292</v>
      </c>
      <c r="B125" s="8">
        <f>6.7337 * CHOOSE(CONTROL!$C$15, $D$11, 100%, $F$11)</f>
        <v>6.7336999999999998</v>
      </c>
      <c r="C125" s="8">
        <f>6.7444 * CHOOSE(CONTROL!$C$15, $D$11, 100%, $F$11)</f>
        <v>6.7443999999999997</v>
      </c>
      <c r="D125" s="8">
        <f>6.726 * CHOOSE( CONTROL!$C$15, $D$11, 100%, $F$11)</f>
        <v>6.726</v>
      </c>
      <c r="E125" s="12">
        <f>6.7316 * CHOOSE( CONTROL!$C$15, $D$11, 100%, $F$11)</f>
        <v>6.7316000000000003</v>
      </c>
      <c r="F125" s="4">
        <f>7.3948 * CHOOSE(CONTROL!$C$15, $D$11, 100%, $F$11)</f>
        <v>7.3948</v>
      </c>
      <c r="G125" s="8">
        <f>6.5758 * CHOOSE( CONTROL!$C$15, $D$11, 100%, $F$11)</f>
        <v>6.5758000000000001</v>
      </c>
      <c r="H125" s="4">
        <f>7.464 * CHOOSE(CONTROL!$C$15, $D$11, 100%, $F$11)</f>
        <v>7.4640000000000004</v>
      </c>
      <c r="I125" s="8">
        <f>6.5731 * CHOOSE(CONTROL!$C$15, $D$11, 100%, $F$11)</f>
        <v>6.5731000000000002</v>
      </c>
      <c r="J125" s="4">
        <f>6.4505 * CHOOSE(CONTROL!$C$15, $D$11, 100%, $F$11)</f>
        <v>6.4504999999999999</v>
      </c>
      <c r="K125" s="4"/>
      <c r="L125" s="9">
        <v>29.306000000000001</v>
      </c>
      <c r="M125" s="9">
        <v>12.063700000000001</v>
      </c>
      <c r="N125" s="9">
        <v>4.9444999999999997</v>
      </c>
      <c r="O125" s="9">
        <v>0.37409999999999999</v>
      </c>
      <c r="P125" s="9">
        <v>1.2927</v>
      </c>
      <c r="Q125" s="9">
        <v>32.440300000000001</v>
      </c>
      <c r="R125" s="9"/>
      <c r="S125" s="11"/>
    </row>
    <row r="126" spans="1:19" ht="15.75">
      <c r="A126" s="13">
        <v>45323</v>
      </c>
      <c r="B126" s="8">
        <f>6.2993 * CHOOSE(CONTROL!$C$15, $D$11, 100%, $F$11)</f>
        <v>6.2992999999999997</v>
      </c>
      <c r="C126" s="8">
        <f>6.3101 * CHOOSE(CONTROL!$C$15, $D$11, 100%, $F$11)</f>
        <v>6.3101000000000003</v>
      </c>
      <c r="D126" s="8">
        <f>6.2915 * CHOOSE( CONTROL!$C$15, $D$11, 100%, $F$11)</f>
        <v>6.2915000000000001</v>
      </c>
      <c r="E126" s="12">
        <f>6.2972 * CHOOSE( CONTROL!$C$15, $D$11, 100%, $F$11)</f>
        <v>6.2972000000000001</v>
      </c>
      <c r="F126" s="4">
        <f>6.9604 * CHOOSE(CONTROL!$C$15, $D$11, 100%, $F$11)</f>
        <v>6.9603999999999999</v>
      </c>
      <c r="G126" s="8">
        <f>6.1511 * CHOOSE( CONTROL!$C$15, $D$11, 100%, $F$11)</f>
        <v>6.1510999999999996</v>
      </c>
      <c r="H126" s="4">
        <f>7.0393 * CHOOSE(CONTROL!$C$15, $D$11, 100%, $F$11)</f>
        <v>7.0392999999999999</v>
      </c>
      <c r="I126" s="8">
        <f>6.1554 * CHOOSE(CONTROL!$C$15, $D$11, 100%, $F$11)</f>
        <v>6.1554000000000002</v>
      </c>
      <c r="J126" s="4">
        <f>6.0335 * CHOOSE(CONTROL!$C$15, $D$11, 100%, $F$11)</f>
        <v>6.0335000000000001</v>
      </c>
      <c r="K126" s="4"/>
      <c r="L126" s="9">
        <v>27.415299999999998</v>
      </c>
      <c r="M126" s="9">
        <v>11.285299999999999</v>
      </c>
      <c r="N126" s="9">
        <v>4.6254999999999997</v>
      </c>
      <c r="O126" s="9">
        <v>0.34989999999999999</v>
      </c>
      <c r="P126" s="9">
        <v>1.2093</v>
      </c>
      <c r="Q126" s="9">
        <v>30.347300000000001</v>
      </c>
      <c r="R126" s="9"/>
      <c r="S126" s="11"/>
    </row>
    <row r="127" spans="1:19" ht="15.75">
      <c r="A127" s="13">
        <v>45352</v>
      </c>
      <c r="B127" s="8">
        <f>6.1655 * CHOOSE(CONTROL!$C$15, $D$11, 100%, $F$11)</f>
        <v>6.1654999999999998</v>
      </c>
      <c r="C127" s="8">
        <f>6.1763 * CHOOSE(CONTROL!$C$15, $D$11, 100%, $F$11)</f>
        <v>6.1763000000000003</v>
      </c>
      <c r="D127" s="8">
        <f>6.1573 * CHOOSE( CONTROL!$C$15, $D$11, 100%, $F$11)</f>
        <v>6.1573000000000002</v>
      </c>
      <c r="E127" s="12">
        <f>6.1631 * CHOOSE( CONTROL!$C$15, $D$11, 100%, $F$11)</f>
        <v>6.1631</v>
      </c>
      <c r="F127" s="4">
        <f>6.8267 * CHOOSE(CONTROL!$C$15, $D$11, 100%, $F$11)</f>
        <v>6.8266999999999998</v>
      </c>
      <c r="G127" s="8">
        <f>6.0199 * CHOOSE( CONTROL!$C$15, $D$11, 100%, $F$11)</f>
        <v>6.0198999999999998</v>
      </c>
      <c r="H127" s="4">
        <f>6.9085 * CHOOSE(CONTROL!$C$15, $D$11, 100%, $F$11)</f>
        <v>6.9085000000000001</v>
      </c>
      <c r="I127" s="8">
        <f>6.0254 * CHOOSE(CONTROL!$C$15, $D$11, 100%, $F$11)</f>
        <v>6.0254000000000003</v>
      </c>
      <c r="J127" s="4">
        <f>5.9051 * CHOOSE(CONTROL!$C$15, $D$11, 100%, $F$11)</f>
        <v>5.9051</v>
      </c>
      <c r="K127" s="4"/>
      <c r="L127" s="9">
        <v>29.306000000000001</v>
      </c>
      <c r="M127" s="9">
        <v>12.063700000000001</v>
      </c>
      <c r="N127" s="9">
        <v>4.9444999999999997</v>
      </c>
      <c r="O127" s="9">
        <v>0.37409999999999999</v>
      </c>
      <c r="P127" s="9">
        <v>1.2927</v>
      </c>
      <c r="Q127" s="9">
        <v>32.440300000000001</v>
      </c>
      <c r="R127" s="9"/>
      <c r="S127" s="11"/>
    </row>
    <row r="128" spans="1:19" ht="15.75">
      <c r="A128" s="13">
        <v>45383</v>
      </c>
      <c r="B128" s="8">
        <f>6.259 * CHOOSE(CONTROL!$C$15, $D$11, 100%, $F$11)</f>
        <v>6.2590000000000003</v>
      </c>
      <c r="C128" s="8">
        <f>6.2698 * CHOOSE(CONTROL!$C$15, $D$11, 100%, $F$11)</f>
        <v>6.2698</v>
      </c>
      <c r="D128" s="8">
        <f>6.3045 * CHOOSE( CONTROL!$C$15, $D$11, 100%, $F$11)</f>
        <v>6.3045</v>
      </c>
      <c r="E128" s="12">
        <f>6.2918 * CHOOSE( CONTROL!$C$15, $D$11, 100%, $F$11)</f>
        <v>6.2918000000000003</v>
      </c>
      <c r="F128" s="4">
        <f>6.9878 * CHOOSE(CONTROL!$C$15, $D$11, 100%, $F$11)</f>
        <v>6.9878</v>
      </c>
      <c r="G128" s="8">
        <f>6.1141 * CHOOSE( CONTROL!$C$15, $D$11, 100%, $F$11)</f>
        <v>6.1140999999999996</v>
      </c>
      <c r="H128" s="4">
        <f>7.0661 * CHOOSE(CONTROL!$C$15, $D$11, 100%, $F$11)</f>
        <v>7.0660999999999996</v>
      </c>
      <c r="I128" s="8">
        <f>6.1104 * CHOOSE(CONTROL!$C$15, $D$11, 100%, $F$11)</f>
        <v>6.1104000000000003</v>
      </c>
      <c r="J128" s="4">
        <f>5.9948 * CHOOSE(CONTROL!$C$15, $D$11, 100%, $F$11)</f>
        <v>5.9947999999999997</v>
      </c>
      <c r="K128" s="4"/>
      <c r="L128" s="9">
        <v>30.092199999999998</v>
      </c>
      <c r="M128" s="9">
        <v>11.6745</v>
      </c>
      <c r="N128" s="9">
        <v>4.7850000000000001</v>
      </c>
      <c r="O128" s="9">
        <v>0.36199999999999999</v>
      </c>
      <c r="P128" s="9">
        <v>1.1791</v>
      </c>
      <c r="Q128" s="9">
        <v>31.393799999999999</v>
      </c>
      <c r="R128" s="9"/>
      <c r="S128" s="11"/>
    </row>
    <row r="129" spans="1:19" ht="15.75">
      <c r="A129" s="13">
        <v>45413</v>
      </c>
      <c r="B129" s="8">
        <f>CHOOSE( CONTROL!$C$32, 6.4276, 6.4253) * CHOOSE(CONTROL!$C$15, $D$11, 100%, $F$11)</f>
        <v>6.4276</v>
      </c>
      <c r="C129" s="8">
        <f>CHOOSE( CONTROL!$C$32, 6.4381, 6.4358) * CHOOSE(CONTROL!$C$15, $D$11, 100%, $F$11)</f>
        <v>6.4381000000000004</v>
      </c>
      <c r="D129" s="8">
        <f>CHOOSE( CONTROL!$C$32, 6.472, 6.4697) * CHOOSE( CONTROL!$C$15, $D$11, 100%, $F$11)</f>
        <v>6.4720000000000004</v>
      </c>
      <c r="E129" s="12">
        <f>CHOOSE( CONTROL!$C$32, 6.4581, 6.4558) * CHOOSE( CONTROL!$C$15, $D$11, 100%, $F$11)</f>
        <v>6.4581</v>
      </c>
      <c r="F129" s="4">
        <f>CHOOSE( CONTROL!$C$32, 7.1565, 7.1542) * CHOOSE(CONTROL!$C$15, $D$11, 100%, $F$11)</f>
        <v>7.1565000000000003</v>
      </c>
      <c r="G129" s="8">
        <f>CHOOSE( CONTROL!$C$32, 6.2795, 6.2772) * CHOOSE( CONTROL!$C$15, $D$11, 100%, $F$11)</f>
        <v>6.2794999999999996</v>
      </c>
      <c r="H129" s="4">
        <f>CHOOSE( CONTROL!$C$32, 7.231, 7.2288) * CHOOSE(CONTROL!$C$15, $D$11, 100%, $F$11)</f>
        <v>7.2309999999999999</v>
      </c>
      <c r="I129" s="8">
        <f>CHOOSE( CONTROL!$C$32, 6.2725, 6.2703) * CHOOSE(CONTROL!$C$15, $D$11, 100%, $F$11)</f>
        <v>6.2725</v>
      </c>
      <c r="J129" s="4">
        <f>CHOOSE( CONTROL!$C$32, 6.1568, 6.1546) * CHOOSE(CONTROL!$C$15, $D$11, 100%, $F$11)</f>
        <v>6.1567999999999996</v>
      </c>
      <c r="K129" s="4"/>
      <c r="L129" s="9">
        <v>30.7165</v>
      </c>
      <c r="M129" s="9">
        <v>12.063700000000001</v>
      </c>
      <c r="N129" s="9">
        <v>4.9444999999999997</v>
      </c>
      <c r="O129" s="9">
        <v>0.37409999999999999</v>
      </c>
      <c r="P129" s="9">
        <v>1.2183999999999999</v>
      </c>
      <c r="Q129" s="9">
        <v>32.440300000000001</v>
      </c>
      <c r="R129" s="9"/>
      <c r="S129" s="11"/>
    </row>
    <row r="130" spans="1:19" ht="15.75">
      <c r="A130" s="13">
        <v>45444</v>
      </c>
      <c r="B130" s="8">
        <f>CHOOSE( CONTROL!$C$32, 6.3245, 6.3222) * CHOOSE(CONTROL!$C$15, $D$11, 100%, $F$11)</f>
        <v>6.3244999999999996</v>
      </c>
      <c r="C130" s="8">
        <f>CHOOSE( CONTROL!$C$32, 6.3351, 6.3328) * CHOOSE(CONTROL!$C$15, $D$11, 100%, $F$11)</f>
        <v>6.3350999999999997</v>
      </c>
      <c r="D130" s="8">
        <f>CHOOSE( CONTROL!$C$32, 6.3691, 6.3668) * CHOOSE( CONTROL!$C$15, $D$11, 100%, $F$11)</f>
        <v>6.3691000000000004</v>
      </c>
      <c r="E130" s="12">
        <f>CHOOSE( CONTROL!$C$32, 6.3552, 6.3529) * CHOOSE( CONTROL!$C$15, $D$11, 100%, $F$11)</f>
        <v>6.3552</v>
      </c>
      <c r="F130" s="4">
        <f>CHOOSE( CONTROL!$C$32, 7.0534, 7.0511) * CHOOSE(CONTROL!$C$15, $D$11, 100%, $F$11)</f>
        <v>7.0533999999999999</v>
      </c>
      <c r="G130" s="8">
        <f>CHOOSE( CONTROL!$C$32, 6.1789, 6.1767) * CHOOSE( CONTROL!$C$15, $D$11, 100%, $F$11)</f>
        <v>6.1788999999999996</v>
      </c>
      <c r="H130" s="4">
        <f>CHOOSE( CONTROL!$C$32, 7.1303, 7.128) * CHOOSE(CONTROL!$C$15, $D$11, 100%, $F$11)</f>
        <v>7.1303000000000001</v>
      </c>
      <c r="I130" s="8">
        <f>CHOOSE( CONTROL!$C$32, 6.1743, 6.1721) * CHOOSE(CONTROL!$C$15, $D$11, 100%, $F$11)</f>
        <v>6.1742999999999997</v>
      </c>
      <c r="J130" s="4">
        <f>CHOOSE( CONTROL!$C$32, 6.0578, 6.0556) * CHOOSE(CONTROL!$C$15, $D$11, 100%, $F$11)</f>
        <v>6.0578000000000003</v>
      </c>
      <c r="K130" s="4"/>
      <c r="L130" s="9">
        <v>29.7257</v>
      </c>
      <c r="M130" s="9">
        <v>11.6745</v>
      </c>
      <c r="N130" s="9">
        <v>4.7850000000000001</v>
      </c>
      <c r="O130" s="9">
        <v>0.36199999999999999</v>
      </c>
      <c r="P130" s="9">
        <v>1.1791</v>
      </c>
      <c r="Q130" s="9">
        <v>31.393799999999999</v>
      </c>
      <c r="R130" s="9"/>
      <c r="S130" s="11"/>
    </row>
    <row r="131" spans="1:19" ht="15.75">
      <c r="A131" s="13">
        <v>45474</v>
      </c>
      <c r="B131" s="8">
        <f>CHOOSE( CONTROL!$C$32, 6.5959, 6.5936) * CHOOSE(CONTROL!$C$15, $D$11, 100%, $F$11)</f>
        <v>6.5959000000000003</v>
      </c>
      <c r="C131" s="8">
        <f>CHOOSE( CONTROL!$C$32, 6.6065, 6.6042) * CHOOSE(CONTROL!$C$15, $D$11, 100%, $F$11)</f>
        <v>6.6064999999999996</v>
      </c>
      <c r="D131" s="8">
        <f>CHOOSE( CONTROL!$C$32, 6.6407, 6.6384) * CHOOSE( CONTROL!$C$15, $D$11, 100%, $F$11)</f>
        <v>6.6406999999999998</v>
      </c>
      <c r="E131" s="12">
        <f>CHOOSE( CONTROL!$C$32, 6.6267, 6.6244) * CHOOSE( CONTROL!$C$15, $D$11, 100%, $F$11)</f>
        <v>6.6266999999999996</v>
      </c>
      <c r="F131" s="4">
        <f>CHOOSE( CONTROL!$C$32, 7.3249, 7.3226) * CHOOSE(CONTROL!$C$15, $D$11, 100%, $F$11)</f>
        <v>7.3249000000000004</v>
      </c>
      <c r="G131" s="8">
        <f>CHOOSE( CONTROL!$C$32, 6.4446, 6.4424) * CHOOSE( CONTROL!$C$15, $D$11, 100%, $F$11)</f>
        <v>6.4446000000000003</v>
      </c>
      <c r="H131" s="4">
        <f>CHOOSE( CONTROL!$C$32, 7.3956, 7.3934) * CHOOSE(CONTROL!$C$15, $D$11, 100%, $F$11)</f>
        <v>7.3956</v>
      </c>
      <c r="I131" s="8">
        <f>CHOOSE( CONTROL!$C$32, 6.436, 6.4338) * CHOOSE(CONTROL!$C$15, $D$11, 100%, $F$11)</f>
        <v>6.4359999999999999</v>
      </c>
      <c r="J131" s="4">
        <f>CHOOSE( CONTROL!$C$32, 6.3184, 6.3162) * CHOOSE(CONTROL!$C$15, $D$11, 100%, $F$11)</f>
        <v>6.3183999999999996</v>
      </c>
      <c r="K131" s="4"/>
      <c r="L131" s="9">
        <v>30.7165</v>
      </c>
      <c r="M131" s="9">
        <v>12.063700000000001</v>
      </c>
      <c r="N131" s="9">
        <v>4.9444999999999997</v>
      </c>
      <c r="O131" s="9">
        <v>0.37409999999999999</v>
      </c>
      <c r="P131" s="9">
        <v>1.2183999999999999</v>
      </c>
      <c r="Q131" s="9">
        <v>32.440300000000001</v>
      </c>
      <c r="R131" s="9"/>
      <c r="S131" s="11"/>
    </row>
    <row r="132" spans="1:19" ht="15.75">
      <c r="A132" s="13">
        <v>45505</v>
      </c>
      <c r="B132" s="8">
        <f>CHOOSE( CONTROL!$C$32, 6.0881, 6.0858) * CHOOSE(CONTROL!$C$15, $D$11, 100%, $F$11)</f>
        <v>6.0880999999999998</v>
      </c>
      <c r="C132" s="8">
        <f>CHOOSE( CONTROL!$C$32, 6.0986, 6.0963) * CHOOSE(CONTROL!$C$15, $D$11, 100%, $F$11)</f>
        <v>6.0986000000000002</v>
      </c>
      <c r="D132" s="8">
        <f>CHOOSE( CONTROL!$C$32, 6.1329, 6.1306) * CHOOSE( CONTROL!$C$15, $D$11, 100%, $F$11)</f>
        <v>6.1329000000000002</v>
      </c>
      <c r="E132" s="12">
        <f>CHOOSE( CONTROL!$C$32, 6.1189, 6.1166) * CHOOSE( CONTROL!$C$15, $D$11, 100%, $F$11)</f>
        <v>6.1189</v>
      </c>
      <c r="F132" s="4">
        <f>CHOOSE( CONTROL!$C$32, 6.817, 6.8147) * CHOOSE(CONTROL!$C$15, $D$11, 100%, $F$11)</f>
        <v>6.8170000000000002</v>
      </c>
      <c r="G132" s="8">
        <f>CHOOSE( CONTROL!$C$32, 5.9482, 5.946) * CHOOSE( CONTROL!$C$15, $D$11, 100%, $F$11)</f>
        <v>5.9481999999999999</v>
      </c>
      <c r="H132" s="4">
        <f>CHOOSE( CONTROL!$C$32, 6.8991, 6.8969) * CHOOSE(CONTROL!$C$15, $D$11, 100%, $F$11)</f>
        <v>6.8990999999999998</v>
      </c>
      <c r="I132" s="8">
        <f>CHOOSE( CONTROL!$C$32, 5.9485, 5.9462) * CHOOSE(CONTROL!$C$15, $D$11, 100%, $F$11)</f>
        <v>5.9485000000000001</v>
      </c>
      <c r="J132" s="4">
        <f>CHOOSE( CONTROL!$C$32, 5.8308, 5.8286) * CHOOSE(CONTROL!$C$15, $D$11, 100%, $F$11)</f>
        <v>5.8308</v>
      </c>
      <c r="K132" s="4"/>
      <c r="L132" s="9">
        <v>30.7165</v>
      </c>
      <c r="M132" s="9">
        <v>12.063700000000001</v>
      </c>
      <c r="N132" s="9">
        <v>4.9444999999999997</v>
      </c>
      <c r="O132" s="9">
        <v>0.37409999999999999</v>
      </c>
      <c r="P132" s="9">
        <v>1.2183999999999999</v>
      </c>
      <c r="Q132" s="9">
        <v>32.440300000000001</v>
      </c>
      <c r="R132" s="9"/>
      <c r="S132" s="11"/>
    </row>
    <row r="133" spans="1:19" ht="15.75">
      <c r="A133" s="13">
        <v>45536</v>
      </c>
      <c r="B133" s="8">
        <f>CHOOSE( CONTROL!$C$32, 5.9609, 5.9586) * CHOOSE(CONTROL!$C$15, $D$11, 100%, $F$11)</f>
        <v>5.9608999999999996</v>
      </c>
      <c r="C133" s="8">
        <f>CHOOSE( CONTROL!$C$32, 5.9715, 5.9692) * CHOOSE(CONTROL!$C$15, $D$11, 100%, $F$11)</f>
        <v>5.9714999999999998</v>
      </c>
      <c r="D133" s="8">
        <f>CHOOSE( CONTROL!$C$32, 6.0057, 6.0034) * CHOOSE( CONTROL!$C$15, $D$11, 100%, $F$11)</f>
        <v>6.0057</v>
      </c>
      <c r="E133" s="12">
        <f>CHOOSE( CONTROL!$C$32, 5.9917, 5.9894) * CHOOSE( CONTROL!$C$15, $D$11, 100%, $F$11)</f>
        <v>5.9916999999999998</v>
      </c>
      <c r="F133" s="4">
        <f>CHOOSE( CONTROL!$C$32, 6.6899, 6.6876) * CHOOSE(CONTROL!$C$15, $D$11, 100%, $F$11)</f>
        <v>6.6898999999999997</v>
      </c>
      <c r="G133" s="8">
        <f>CHOOSE( CONTROL!$C$32, 5.8238, 5.8216) * CHOOSE( CONTROL!$C$15, $D$11, 100%, $F$11)</f>
        <v>5.8238000000000003</v>
      </c>
      <c r="H133" s="4">
        <f>CHOOSE( CONTROL!$C$32, 6.7748, 6.7726) * CHOOSE(CONTROL!$C$15, $D$11, 100%, $F$11)</f>
        <v>6.7747999999999999</v>
      </c>
      <c r="I133" s="8">
        <f>CHOOSE( CONTROL!$C$32, 5.8262, 5.824) * CHOOSE(CONTROL!$C$15, $D$11, 100%, $F$11)</f>
        <v>5.8262</v>
      </c>
      <c r="J133" s="4">
        <f>CHOOSE( CONTROL!$C$32, 5.7087, 5.7065) * CHOOSE(CONTROL!$C$15, $D$11, 100%, $F$11)</f>
        <v>5.7087000000000003</v>
      </c>
      <c r="K133" s="4"/>
      <c r="L133" s="9">
        <v>29.7257</v>
      </c>
      <c r="M133" s="9">
        <v>11.6745</v>
      </c>
      <c r="N133" s="9">
        <v>4.7850000000000001</v>
      </c>
      <c r="O133" s="9">
        <v>0.36199999999999999</v>
      </c>
      <c r="P133" s="9">
        <v>1.1791</v>
      </c>
      <c r="Q133" s="9">
        <v>31.393799999999999</v>
      </c>
      <c r="R133" s="9"/>
      <c r="S133" s="11"/>
    </row>
    <row r="134" spans="1:19" ht="15.75">
      <c r="A134" s="13">
        <v>45566</v>
      </c>
      <c r="B134" s="8">
        <f>6.2228 * CHOOSE(CONTROL!$C$15, $D$11, 100%, $F$11)</f>
        <v>6.2228000000000003</v>
      </c>
      <c r="C134" s="8">
        <f>6.2335 * CHOOSE(CONTROL!$C$15, $D$11, 100%, $F$11)</f>
        <v>6.2335000000000003</v>
      </c>
      <c r="D134" s="8">
        <f>6.2689 * CHOOSE( CONTROL!$C$15, $D$11, 100%, $F$11)</f>
        <v>6.2689000000000004</v>
      </c>
      <c r="E134" s="12">
        <f>6.2561 * CHOOSE( CONTROL!$C$15, $D$11, 100%, $F$11)</f>
        <v>6.2561</v>
      </c>
      <c r="F134" s="4">
        <f>6.9516 * CHOOSE(CONTROL!$C$15, $D$11, 100%, $F$11)</f>
        <v>6.9516</v>
      </c>
      <c r="G134" s="8">
        <f>6.0795 * CHOOSE( CONTROL!$C$15, $D$11, 100%, $F$11)</f>
        <v>6.0795000000000003</v>
      </c>
      <c r="H134" s="4">
        <f>7.0307 * CHOOSE(CONTROL!$C$15, $D$11, 100%, $F$11)</f>
        <v>7.0307000000000004</v>
      </c>
      <c r="I134" s="8">
        <f>6.0785 * CHOOSE(CONTROL!$C$15, $D$11, 100%, $F$11)</f>
        <v>6.0785</v>
      </c>
      <c r="J134" s="4">
        <f>5.96 * CHOOSE(CONTROL!$C$15, $D$11, 100%, $F$11)</f>
        <v>5.96</v>
      </c>
      <c r="K134" s="4"/>
      <c r="L134" s="9">
        <v>31.095300000000002</v>
      </c>
      <c r="M134" s="9">
        <v>12.063700000000001</v>
      </c>
      <c r="N134" s="9">
        <v>4.9444999999999997</v>
      </c>
      <c r="O134" s="9">
        <v>0.37409999999999999</v>
      </c>
      <c r="P134" s="9">
        <v>1.2183999999999999</v>
      </c>
      <c r="Q134" s="9">
        <v>32.440300000000001</v>
      </c>
      <c r="R134" s="9"/>
      <c r="S134" s="11"/>
    </row>
    <row r="135" spans="1:19" ht="15.75">
      <c r="A135" s="13">
        <v>45597</v>
      </c>
      <c r="B135" s="8">
        <f>6.7102 * CHOOSE(CONTROL!$C$15, $D$11, 100%, $F$11)</f>
        <v>6.7102000000000004</v>
      </c>
      <c r="C135" s="8">
        <f>6.7209 * CHOOSE(CONTROL!$C$15, $D$11, 100%, $F$11)</f>
        <v>6.7209000000000003</v>
      </c>
      <c r="D135" s="8">
        <f>6.697 * CHOOSE( CONTROL!$C$15, $D$11, 100%, $F$11)</f>
        <v>6.6970000000000001</v>
      </c>
      <c r="E135" s="12">
        <f>6.7046 * CHOOSE( CONTROL!$C$15, $D$11, 100%, $F$11)</f>
        <v>6.7046000000000001</v>
      </c>
      <c r="F135" s="4">
        <f>7.3713 * CHOOSE(CONTROL!$C$15, $D$11, 100%, $F$11)</f>
        <v>7.3712999999999997</v>
      </c>
      <c r="G135" s="8">
        <f>6.556 * CHOOSE( CONTROL!$C$15, $D$11, 100%, $F$11)</f>
        <v>6.556</v>
      </c>
      <c r="H135" s="4">
        <f>7.441 * CHOOSE(CONTROL!$C$15, $D$11, 100%, $F$11)</f>
        <v>7.4409999999999998</v>
      </c>
      <c r="I135" s="8">
        <f>6.59 * CHOOSE(CONTROL!$C$15, $D$11, 100%, $F$11)</f>
        <v>6.59</v>
      </c>
      <c r="J135" s="4">
        <f>6.428 * CHOOSE(CONTROL!$C$15, $D$11, 100%, $F$11)</f>
        <v>6.4279999999999999</v>
      </c>
      <c r="K135" s="4"/>
      <c r="L135" s="9">
        <v>28.360600000000002</v>
      </c>
      <c r="M135" s="9">
        <v>11.6745</v>
      </c>
      <c r="N135" s="9">
        <v>4.7850000000000001</v>
      </c>
      <c r="O135" s="9">
        <v>0.36199999999999999</v>
      </c>
      <c r="P135" s="9">
        <v>1.2509999999999999</v>
      </c>
      <c r="Q135" s="9">
        <v>31.393799999999999</v>
      </c>
      <c r="R135" s="9"/>
      <c r="S135" s="11"/>
    </row>
    <row r="136" spans="1:19" ht="15.75">
      <c r="A136" s="13">
        <v>45627</v>
      </c>
      <c r="B136" s="8">
        <f>6.698 * CHOOSE(CONTROL!$C$15, $D$11, 100%, $F$11)</f>
        <v>6.6980000000000004</v>
      </c>
      <c r="C136" s="8">
        <f>6.7087 * CHOOSE(CONTROL!$C$15, $D$11, 100%, $F$11)</f>
        <v>6.7087000000000003</v>
      </c>
      <c r="D136" s="8">
        <f>6.6865 * CHOOSE( CONTROL!$C$15, $D$11, 100%, $F$11)</f>
        <v>6.6864999999999997</v>
      </c>
      <c r="E136" s="12">
        <f>6.6935 * CHOOSE( CONTROL!$C$15, $D$11, 100%, $F$11)</f>
        <v>6.6935000000000002</v>
      </c>
      <c r="F136" s="4">
        <f>7.3591 * CHOOSE(CONTROL!$C$15, $D$11, 100%, $F$11)</f>
        <v>7.3590999999999998</v>
      </c>
      <c r="G136" s="8">
        <f>6.5453 * CHOOSE( CONTROL!$C$15, $D$11, 100%, $F$11)</f>
        <v>6.5453000000000001</v>
      </c>
      <c r="H136" s="4">
        <f>7.4291 * CHOOSE(CONTROL!$C$15, $D$11, 100%, $F$11)</f>
        <v>7.4291</v>
      </c>
      <c r="I136" s="8">
        <f>6.5835 * CHOOSE(CONTROL!$C$15, $D$11, 100%, $F$11)</f>
        <v>6.5834999999999999</v>
      </c>
      <c r="J136" s="4">
        <f>6.4163 * CHOOSE(CONTROL!$C$15, $D$11, 100%, $F$11)</f>
        <v>6.4162999999999997</v>
      </c>
      <c r="K136" s="4"/>
      <c r="L136" s="9">
        <v>29.306000000000001</v>
      </c>
      <c r="M136" s="9">
        <v>12.063700000000001</v>
      </c>
      <c r="N136" s="9">
        <v>4.9444999999999997</v>
      </c>
      <c r="O136" s="9">
        <v>0.37409999999999999</v>
      </c>
      <c r="P136" s="9">
        <v>1.2927</v>
      </c>
      <c r="Q136" s="9">
        <v>32.440300000000001</v>
      </c>
      <c r="R136" s="9"/>
      <c r="S136" s="11"/>
    </row>
    <row r="137" spans="1:19" ht="15.75">
      <c r="A137" s="13">
        <v>45658</v>
      </c>
      <c r="B137" s="8">
        <f>6.9387 * CHOOSE(CONTROL!$C$15, $D$11, 100%, $F$11)</f>
        <v>6.9386999999999999</v>
      </c>
      <c r="C137" s="8">
        <f>6.9495 * CHOOSE(CONTROL!$C$15, $D$11, 100%, $F$11)</f>
        <v>6.9494999999999996</v>
      </c>
      <c r="D137" s="8">
        <f>6.9311 * CHOOSE( CONTROL!$C$15, $D$11, 100%, $F$11)</f>
        <v>6.9310999999999998</v>
      </c>
      <c r="E137" s="12">
        <f>6.9367 * CHOOSE( CONTROL!$C$15, $D$11, 100%, $F$11)</f>
        <v>6.9367000000000001</v>
      </c>
      <c r="F137" s="4">
        <f>7.5998 * CHOOSE(CONTROL!$C$15, $D$11, 100%, $F$11)</f>
        <v>7.5998000000000001</v>
      </c>
      <c r="G137" s="8">
        <f>6.7763 * CHOOSE( CONTROL!$C$15, $D$11, 100%, $F$11)</f>
        <v>6.7763</v>
      </c>
      <c r="H137" s="4">
        <f>7.6644 * CHOOSE(CONTROL!$C$15, $D$11, 100%, $F$11)</f>
        <v>7.6643999999999997</v>
      </c>
      <c r="I137" s="8">
        <f>6.77 * CHOOSE(CONTROL!$C$15, $D$11, 100%, $F$11)</f>
        <v>6.77</v>
      </c>
      <c r="J137" s="4">
        <f>6.6474 * CHOOSE(CONTROL!$C$15, $D$11, 100%, $F$11)</f>
        <v>6.6474000000000002</v>
      </c>
      <c r="K137" s="4"/>
      <c r="L137" s="9">
        <v>29.306000000000001</v>
      </c>
      <c r="M137" s="9">
        <v>12.063700000000001</v>
      </c>
      <c r="N137" s="9">
        <v>4.9444999999999997</v>
      </c>
      <c r="O137" s="9">
        <v>0.37409999999999999</v>
      </c>
      <c r="P137" s="9">
        <v>1.2927</v>
      </c>
      <c r="Q137" s="9">
        <v>32.254300000000001</v>
      </c>
      <c r="R137" s="9"/>
      <c r="S137" s="11"/>
    </row>
    <row r="138" spans="1:19" ht="15.75">
      <c r="A138" s="13">
        <v>45689</v>
      </c>
      <c r="B138" s="8">
        <f>6.4911 * CHOOSE(CONTROL!$C$15, $D$11, 100%, $F$11)</f>
        <v>6.4911000000000003</v>
      </c>
      <c r="C138" s="8">
        <f>6.5019 * CHOOSE(CONTROL!$C$15, $D$11, 100%, $F$11)</f>
        <v>6.5019</v>
      </c>
      <c r="D138" s="8">
        <f>6.4833 * CHOOSE( CONTROL!$C$15, $D$11, 100%, $F$11)</f>
        <v>6.4832999999999998</v>
      </c>
      <c r="E138" s="12">
        <f>6.489 * CHOOSE( CONTROL!$C$15, $D$11, 100%, $F$11)</f>
        <v>6.4889999999999999</v>
      </c>
      <c r="F138" s="4">
        <f>7.1522 * CHOOSE(CONTROL!$C$15, $D$11, 100%, $F$11)</f>
        <v>7.1521999999999997</v>
      </c>
      <c r="G138" s="8">
        <f>6.3386 * CHOOSE( CONTROL!$C$15, $D$11, 100%, $F$11)</f>
        <v>6.3385999999999996</v>
      </c>
      <c r="H138" s="4">
        <f>7.2268 * CHOOSE(CONTROL!$C$15, $D$11, 100%, $F$11)</f>
        <v>7.2267999999999999</v>
      </c>
      <c r="I138" s="8">
        <f>6.3396 * CHOOSE(CONTROL!$C$15, $D$11, 100%, $F$11)</f>
        <v>6.3395999999999999</v>
      </c>
      <c r="J138" s="4">
        <f>6.2176 * CHOOSE(CONTROL!$C$15, $D$11, 100%, $F$11)</f>
        <v>6.2176</v>
      </c>
      <c r="K138" s="4"/>
      <c r="L138" s="9">
        <v>26.469899999999999</v>
      </c>
      <c r="M138" s="9">
        <v>10.8962</v>
      </c>
      <c r="N138" s="9">
        <v>4.4660000000000002</v>
      </c>
      <c r="O138" s="9">
        <v>0.33789999999999998</v>
      </c>
      <c r="P138" s="9">
        <v>1.1676</v>
      </c>
      <c r="Q138" s="9">
        <v>29.132899999999999</v>
      </c>
      <c r="R138" s="9"/>
      <c r="S138" s="11"/>
    </row>
    <row r="139" spans="1:19" ht="15.75">
      <c r="A139" s="13">
        <v>45717</v>
      </c>
      <c r="B139" s="8">
        <f>6.3532 * CHOOSE(CONTROL!$C$15, $D$11, 100%, $F$11)</f>
        <v>6.3532000000000002</v>
      </c>
      <c r="C139" s="8">
        <f>6.364 * CHOOSE(CONTROL!$C$15, $D$11, 100%, $F$11)</f>
        <v>6.3639999999999999</v>
      </c>
      <c r="D139" s="8">
        <f>6.3449 * CHOOSE( CONTROL!$C$15, $D$11, 100%, $F$11)</f>
        <v>6.3449</v>
      </c>
      <c r="E139" s="12">
        <f>6.3507 * CHOOSE( CONTROL!$C$15, $D$11, 100%, $F$11)</f>
        <v>6.3506999999999998</v>
      </c>
      <c r="F139" s="4">
        <f>7.0143 * CHOOSE(CONTROL!$C$15, $D$11, 100%, $F$11)</f>
        <v>7.0143000000000004</v>
      </c>
      <c r="G139" s="8">
        <f>6.2034 * CHOOSE( CONTROL!$C$15, $D$11, 100%, $F$11)</f>
        <v>6.2034000000000002</v>
      </c>
      <c r="H139" s="4">
        <f>7.092 * CHOOSE(CONTROL!$C$15, $D$11, 100%, $F$11)</f>
        <v>7.0919999999999996</v>
      </c>
      <c r="I139" s="8">
        <f>6.2056 * CHOOSE(CONTROL!$C$15, $D$11, 100%, $F$11)</f>
        <v>6.2055999999999996</v>
      </c>
      <c r="J139" s="4">
        <f>6.0853 * CHOOSE(CONTROL!$C$15, $D$11, 100%, $F$11)</f>
        <v>6.0853000000000002</v>
      </c>
      <c r="K139" s="4"/>
      <c r="L139" s="9">
        <v>29.306000000000001</v>
      </c>
      <c r="M139" s="9">
        <v>12.063700000000001</v>
      </c>
      <c r="N139" s="9">
        <v>4.9444999999999997</v>
      </c>
      <c r="O139" s="9">
        <v>0.37409999999999999</v>
      </c>
      <c r="P139" s="9">
        <v>1.2927</v>
      </c>
      <c r="Q139" s="9">
        <v>32.254300000000001</v>
      </c>
      <c r="R139" s="9"/>
      <c r="S139" s="11"/>
    </row>
    <row r="140" spans="1:19" ht="15.75">
      <c r="A140" s="13">
        <v>45748</v>
      </c>
      <c r="B140" s="8">
        <f>6.4495 * CHOOSE(CONTROL!$C$15, $D$11, 100%, $F$11)</f>
        <v>6.4494999999999996</v>
      </c>
      <c r="C140" s="8">
        <f>6.4603 * CHOOSE(CONTROL!$C$15, $D$11, 100%, $F$11)</f>
        <v>6.4603000000000002</v>
      </c>
      <c r="D140" s="8">
        <f>6.4951 * CHOOSE( CONTROL!$C$15, $D$11, 100%, $F$11)</f>
        <v>6.4950999999999999</v>
      </c>
      <c r="E140" s="12">
        <f>6.4824 * CHOOSE( CONTROL!$C$15, $D$11, 100%, $F$11)</f>
        <v>6.4824000000000002</v>
      </c>
      <c r="F140" s="4">
        <f>7.1784 * CHOOSE(CONTROL!$C$15, $D$11, 100%, $F$11)</f>
        <v>7.1783999999999999</v>
      </c>
      <c r="G140" s="8">
        <f>6.3003 * CHOOSE( CONTROL!$C$15, $D$11, 100%, $F$11)</f>
        <v>6.3003</v>
      </c>
      <c r="H140" s="4">
        <f>7.2524 * CHOOSE(CONTROL!$C$15, $D$11, 100%, $F$11)</f>
        <v>7.2523999999999997</v>
      </c>
      <c r="I140" s="8">
        <f>6.2935 * CHOOSE(CONTROL!$C$15, $D$11, 100%, $F$11)</f>
        <v>6.2934999999999999</v>
      </c>
      <c r="J140" s="4">
        <f>6.1778 * CHOOSE(CONTROL!$C$15, $D$11, 100%, $F$11)</f>
        <v>6.1778000000000004</v>
      </c>
      <c r="K140" s="4"/>
      <c r="L140" s="9">
        <v>30.092199999999998</v>
      </c>
      <c r="M140" s="9">
        <v>11.6745</v>
      </c>
      <c r="N140" s="9">
        <v>4.7850000000000001</v>
      </c>
      <c r="O140" s="9">
        <v>0.36199999999999999</v>
      </c>
      <c r="P140" s="9">
        <v>1.1791</v>
      </c>
      <c r="Q140" s="9">
        <v>31.213799999999999</v>
      </c>
      <c r="R140" s="9"/>
      <c r="S140" s="11"/>
    </row>
    <row r="141" spans="1:19" ht="15.75">
      <c r="A141" s="13">
        <v>45778</v>
      </c>
      <c r="B141" s="8">
        <f>CHOOSE( CONTROL!$C$32, 6.6232, 6.6209) * CHOOSE(CONTROL!$C$15, $D$11, 100%, $F$11)</f>
        <v>6.6231999999999998</v>
      </c>
      <c r="C141" s="8">
        <f>CHOOSE( CONTROL!$C$32, 6.6337, 6.6314) * CHOOSE(CONTROL!$C$15, $D$11, 100%, $F$11)</f>
        <v>6.6337000000000002</v>
      </c>
      <c r="D141" s="8">
        <f>CHOOSE( CONTROL!$C$32, 6.6676, 6.6653) * CHOOSE( CONTROL!$C$15, $D$11, 100%, $F$11)</f>
        <v>6.6676000000000002</v>
      </c>
      <c r="E141" s="12">
        <f>CHOOSE( CONTROL!$C$32, 6.6537, 6.6514) * CHOOSE( CONTROL!$C$15, $D$11, 100%, $F$11)</f>
        <v>6.6536999999999997</v>
      </c>
      <c r="F141" s="4">
        <f>CHOOSE( CONTROL!$C$32, 7.3521, 7.3498) * CHOOSE(CONTROL!$C$15, $D$11, 100%, $F$11)</f>
        <v>7.3521000000000001</v>
      </c>
      <c r="G141" s="8">
        <f>CHOOSE( CONTROL!$C$32, 6.4707, 6.4685) * CHOOSE( CONTROL!$C$15, $D$11, 100%, $F$11)</f>
        <v>6.4706999999999999</v>
      </c>
      <c r="H141" s="4">
        <f>CHOOSE( CONTROL!$C$32, 7.4223, 7.42) * CHOOSE(CONTROL!$C$15, $D$11, 100%, $F$11)</f>
        <v>7.4222999999999999</v>
      </c>
      <c r="I141" s="8">
        <f>CHOOSE( CONTROL!$C$32, 6.4604, 6.4582) * CHOOSE(CONTROL!$C$15, $D$11, 100%, $F$11)</f>
        <v>6.4603999999999999</v>
      </c>
      <c r="J141" s="4">
        <f>CHOOSE( CONTROL!$C$32, 6.3446, 6.3424) * CHOOSE(CONTROL!$C$15, $D$11, 100%, $F$11)</f>
        <v>6.3445999999999998</v>
      </c>
      <c r="K141" s="4"/>
      <c r="L141" s="9">
        <v>30.7165</v>
      </c>
      <c r="M141" s="9">
        <v>12.063700000000001</v>
      </c>
      <c r="N141" s="9">
        <v>4.9444999999999997</v>
      </c>
      <c r="O141" s="9">
        <v>0.37409999999999999</v>
      </c>
      <c r="P141" s="9">
        <v>1.2183999999999999</v>
      </c>
      <c r="Q141" s="9">
        <v>32.254300000000001</v>
      </c>
      <c r="R141" s="9"/>
      <c r="S141" s="11"/>
    </row>
    <row r="142" spans="1:19" ht="15.75">
      <c r="A142" s="13">
        <v>45809</v>
      </c>
      <c r="B142" s="8">
        <f>CHOOSE( CONTROL!$C$32, 6.517, 6.5147) * CHOOSE(CONTROL!$C$15, $D$11, 100%, $F$11)</f>
        <v>6.5170000000000003</v>
      </c>
      <c r="C142" s="8">
        <f>CHOOSE( CONTROL!$C$32, 6.5275, 6.5252) * CHOOSE(CONTROL!$C$15, $D$11, 100%, $F$11)</f>
        <v>6.5274999999999999</v>
      </c>
      <c r="D142" s="8">
        <f>CHOOSE( CONTROL!$C$32, 6.5615, 6.5592) * CHOOSE( CONTROL!$C$15, $D$11, 100%, $F$11)</f>
        <v>6.5614999999999997</v>
      </c>
      <c r="E142" s="12">
        <f>CHOOSE( CONTROL!$C$32, 6.5476, 6.5453) * CHOOSE( CONTROL!$C$15, $D$11, 100%, $F$11)</f>
        <v>6.5476000000000001</v>
      </c>
      <c r="F142" s="4">
        <f>CHOOSE( CONTROL!$C$32, 7.2459, 7.2436) * CHOOSE(CONTROL!$C$15, $D$11, 100%, $F$11)</f>
        <v>7.2458999999999998</v>
      </c>
      <c r="G142" s="8">
        <f>CHOOSE( CONTROL!$C$32, 6.3671, 6.3649) * CHOOSE( CONTROL!$C$15, $D$11, 100%, $F$11)</f>
        <v>6.3670999999999998</v>
      </c>
      <c r="H142" s="4">
        <f>CHOOSE( CONTROL!$C$32, 7.3185, 7.3162) * CHOOSE(CONTROL!$C$15, $D$11, 100%, $F$11)</f>
        <v>7.3185000000000002</v>
      </c>
      <c r="I142" s="8">
        <f>CHOOSE( CONTROL!$C$32, 6.3592, 6.357) * CHOOSE(CONTROL!$C$15, $D$11, 100%, $F$11)</f>
        <v>6.3592000000000004</v>
      </c>
      <c r="J142" s="4">
        <f>CHOOSE( CONTROL!$C$32, 6.2426, 6.2404) * CHOOSE(CONTROL!$C$15, $D$11, 100%, $F$11)</f>
        <v>6.2426000000000004</v>
      </c>
      <c r="K142" s="4"/>
      <c r="L142" s="9">
        <v>29.7257</v>
      </c>
      <c r="M142" s="9">
        <v>11.6745</v>
      </c>
      <c r="N142" s="9">
        <v>4.7850000000000001</v>
      </c>
      <c r="O142" s="9">
        <v>0.36199999999999999</v>
      </c>
      <c r="P142" s="9">
        <v>1.1791</v>
      </c>
      <c r="Q142" s="9">
        <v>31.213799999999999</v>
      </c>
      <c r="R142" s="9"/>
      <c r="S142" s="11"/>
    </row>
    <row r="143" spans="1:19" ht="15.75">
      <c r="A143" s="13">
        <v>45839</v>
      </c>
      <c r="B143" s="8">
        <f>CHOOSE( CONTROL!$C$32, 6.7967, 6.7944) * CHOOSE(CONTROL!$C$15, $D$11, 100%, $F$11)</f>
        <v>6.7967000000000004</v>
      </c>
      <c r="C143" s="8">
        <f>CHOOSE( CONTROL!$C$32, 6.8072, 6.8049) * CHOOSE(CONTROL!$C$15, $D$11, 100%, $F$11)</f>
        <v>6.8071999999999999</v>
      </c>
      <c r="D143" s="8">
        <f>CHOOSE( CONTROL!$C$32, 6.8414, 6.8391) * CHOOSE( CONTROL!$C$15, $D$11, 100%, $F$11)</f>
        <v>6.8414000000000001</v>
      </c>
      <c r="E143" s="12">
        <f>CHOOSE( CONTROL!$C$32, 6.8274, 6.8251) * CHOOSE( CONTROL!$C$15, $D$11, 100%, $F$11)</f>
        <v>6.8273999999999999</v>
      </c>
      <c r="F143" s="4">
        <f>CHOOSE( CONTROL!$C$32, 7.5256, 7.5233) * CHOOSE(CONTROL!$C$15, $D$11, 100%, $F$11)</f>
        <v>7.5255999999999998</v>
      </c>
      <c r="G143" s="8">
        <f>CHOOSE( CONTROL!$C$32, 6.6409, 6.6386) * CHOOSE( CONTROL!$C$15, $D$11, 100%, $F$11)</f>
        <v>6.6409000000000002</v>
      </c>
      <c r="H143" s="4">
        <f>CHOOSE( CONTROL!$C$32, 7.5919, 7.5897) * CHOOSE(CONTROL!$C$15, $D$11, 100%, $F$11)</f>
        <v>7.5918999999999999</v>
      </c>
      <c r="I143" s="8">
        <f>CHOOSE( CONTROL!$C$32, 6.6288, 6.6266) * CHOOSE(CONTROL!$C$15, $D$11, 100%, $F$11)</f>
        <v>6.6288</v>
      </c>
      <c r="J143" s="4">
        <f>CHOOSE( CONTROL!$C$32, 6.5111, 6.5089) * CHOOSE(CONTROL!$C$15, $D$11, 100%, $F$11)</f>
        <v>6.5110999999999999</v>
      </c>
      <c r="K143" s="4"/>
      <c r="L143" s="9">
        <v>30.7165</v>
      </c>
      <c r="M143" s="9">
        <v>12.063700000000001</v>
      </c>
      <c r="N143" s="9">
        <v>4.9444999999999997</v>
      </c>
      <c r="O143" s="9">
        <v>0.37409999999999999</v>
      </c>
      <c r="P143" s="9">
        <v>1.2183999999999999</v>
      </c>
      <c r="Q143" s="9">
        <v>32.254300000000001</v>
      </c>
      <c r="R143" s="9"/>
      <c r="S143" s="11"/>
    </row>
    <row r="144" spans="1:19" ht="15.75">
      <c r="A144" s="13">
        <v>45870</v>
      </c>
      <c r="B144" s="8">
        <f>CHOOSE( CONTROL!$C$32, 6.2733, 6.271) * CHOOSE(CONTROL!$C$15, $D$11, 100%, $F$11)</f>
        <v>6.2732999999999999</v>
      </c>
      <c r="C144" s="8">
        <f>CHOOSE( CONTROL!$C$32, 6.2839, 6.2816) * CHOOSE(CONTROL!$C$15, $D$11, 100%, $F$11)</f>
        <v>6.2839</v>
      </c>
      <c r="D144" s="8">
        <f>CHOOSE( CONTROL!$C$32, 6.3182, 6.3159) * CHOOSE( CONTROL!$C$15, $D$11, 100%, $F$11)</f>
        <v>6.3182</v>
      </c>
      <c r="E144" s="12">
        <f>CHOOSE( CONTROL!$C$32, 6.3042, 6.3019) * CHOOSE( CONTROL!$C$15, $D$11, 100%, $F$11)</f>
        <v>6.3041999999999998</v>
      </c>
      <c r="F144" s="4">
        <f>CHOOSE( CONTROL!$C$32, 7.0023, 7) * CHOOSE(CONTROL!$C$15, $D$11, 100%, $F$11)</f>
        <v>7.0023</v>
      </c>
      <c r="G144" s="8">
        <f>CHOOSE( CONTROL!$C$32, 6.1293, 6.1271) * CHOOSE( CONTROL!$C$15, $D$11, 100%, $F$11)</f>
        <v>6.1292999999999997</v>
      </c>
      <c r="H144" s="4">
        <f>CHOOSE( CONTROL!$C$32, 7.0803, 7.078) * CHOOSE(CONTROL!$C$15, $D$11, 100%, $F$11)</f>
        <v>7.0803000000000003</v>
      </c>
      <c r="I144" s="8">
        <f>CHOOSE( CONTROL!$C$32, 6.1264, 6.1242) * CHOOSE(CONTROL!$C$15, $D$11, 100%, $F$11)</f>
        <v>6.1264000000000003</v>
      </c>
      <c r="J144" s="4">
        <f>CHOOSE( CONTROL!$C$32, 6.0087, 6.0065) * CHOOSE(CONTROL!$C$15, $D$11, 100%, $F$11)</f>
        <v>6.0087000000000002</v>
      </c>
      <c r="K144" s="4"/>
      <c r="L144" s="9">
        <v>30.7165</v>
      </c>
      <c r="M144" s="9">
        <v>12.063700000000001</v>
      </c>
      <c r="N144" s="9">
        <v>4.9444999999999997</v>
      </c>
      <c r="O144" s="9">
        <v>0.37409999999999999</v>
      </c>
      <c r="P144" s="9">
        <v>1.2183999999999999</v>
      </c>
      <c r="Q144" s="9">
        <v>32.254300000000001</v>
      </c>
      <c r="R144" s="9"/>
      <c r="S144" s="11"/>
    </row>
    <row r="145" spans="1:19" ht="15.75">
      <c r="A145" s="13">
        <v>45901</v>
      </c>
      <c r="B145" s="8">
        <f>CHOOSE( CONTROL!$C$32, 6.1423, 6.14) * CHOOSE(CONTROL!$C$15, $D$11, 100%, $F$11)</f>
        <v>6.1422999999999996</v>
      </c>
      <c r="C145" s="8">
        <f>CHOOSE( CONTROL!$C$32, 6.1529, 6.1506) * CHOOSE(CONTROL!$C$15, $D$11, 100%, $F$11)</f>
        <v>6.1528999999999998</v>
      </c>
      <c r="D145" s="8">
        <f>CHOOSE( CONTROL!$C$32, 6.1871, 6.1848) * CHOOSE( CONTROL!$C$15, $D$11, 100%, $F$11)</f>
        <v>6.1871</v>
      </c>
      <c r="E145" s="12">
        <f>CHOOSE( CONTROL!$C$32, 6.1731, 6.1708) * CHOOSE( CONTROL!$C$15, $D$11, 100%, $F$11)</f>
        <v>6.1730999999999998</v>
      </c>
      <c r="F145" s="4">
        <f>CHOOSE( CONTROL!$C$32, 6.8712, 6.8689) * CHOOSE(CONTROL!$C$15, $D$11, 100%, $F$11)</f>
        <v>6.8712</v>
      </c>
      <c r="G145" s="8">
        <f>CHOOSE( CONTROL!$C$32, 6.0012, 5.9989) * CHOOSE( CONTROL!$C$15, $D$11, 100%, $F$11)</f>
        <v>6.0011999999999999</v>
      </c>
      <c r="H145" s="4">
        <f>CHOOSE( CONTROL!$C$32, 6.9521, 6.9499) * CHOOSE(CONTROL!$C$15, $D$11, 100%, $F$11)</f>
        <v>6.9520999999999997</v>
      </c>
      <c r="I145" s="8">
        <f>CHOOSE( CONTROL!$C$32, 6.0004, 5.9982) * CHOOSE(CONTROL!$C$15, $D$11, 100%, $F$11)</f>
        <v>6.0004</v>
      </c>
      <c r="J145" s="4">
        <f>CHOOSE( CONTROL!$C$32, 5.8829, 5.8807) * CHOOSE(CONTROL!$C$15, $D$11, 100%, $F$11)</f>
        <v>5.8829000000000002</v>
      </c>
      <c r="K145" s="4"/>
      <c r="L145" s="9">
        <v>29.7257</v>
      </c>
      <c r="M145" s="9">
        <v>11.6745</v>
      </c>
      <c r="N145" s="9">
        <v>4.7850000000000001</v>
      </c>
      <c r="O145" s="9">
        <v>0.36199999999999999</v>
      </c>
      <c r="P145" s="9">
        <v>1.1791</v>
      </c>
      <c r="Q145" s="9">
        <v>31.213799999999999</v>
      </c>
      <c r="R145" s="9"/>
      <c r="S145" s="11"/>
    </row>
    <row r="146" spans="1:19" ht="15.75">
      <c r="A146" s="13">
        <v>45931</v>
      </c>
      <c r="B146" s="8">
        <f>6.4122 * CHOOSE(CONTROL!$C$15, $D$11, 100%, $F$11)</f>
        <v>6.4122000000000003</v>
      </c>
      <c r="C146" s="8">
        <f>6.4229 * CHOOSE(CONTROL!$C$15, $D$11, 100%, $F$11)</f>
        <v>6.4229000000000003</v>
      </c>
      <c r="D146" s="8">
        <f>6.4584 * CHOOSE( CONTROL!$C$15, $D$11, 100%, $F$11)</f>
        <v>6.4584000000000001</v>
      </c>
      <c r="E146" s="12">
        <f>6.4455 * CHOOSE( CONTROL!$C$15, $D$11, 100%, $F$11)</f>
        <v>6.4455</v>
      </c>
      <c r="F146" s="4">
        <f>7.141 * CHOOSE(CONTROL!$C$15, $D$11, 100%, $F$11)</f>
        <v>7.141</v>
      </c>
      <c r="G146" s="8">
        <f>6.2648 * CHOOSE( CONTROL!$C$15, $D$11, 100%, $F$11)</f>
        <v>6.2648000000000001</v>
      </c>
      <c r="H146" s="4">
        <f>7.2159 * CHOOSE(CONTROL!$C$15, $D$11, 100%, $F$11)</f>
        <v>7.2159000000000004</v>
      </c>
      <c r="I146" s="8">
        <f>6.2604 * CHOOSE(CONTROL!$C$15, $D$11, 100%, $F$11)</f>
        <v>6.2603999999999997</v>
      </c>
      <c r="J146" s="4">
        <f>6.1419 * CHOOSE(CONTROL!$C$15, $D$11, 100%, $F$11)</f>
        <v>6.1418999999999997</v>
      </c>
      <c r="K146" s="4"/>
      <c r="L146" s="9">
        <v>31.095300000000002</v>
      </c>
      <c r="M146" s="9">
        <v>12.063700000000001</v>
      </c>
      <c r="N146" s="9">
        <v>4.9444999999999997</v>
      </c>
      <c r="O146" s="9">
        <v>0.37409999999999999</v>
      </c>
      <c r="P146" s="9">
        <v>1.2183999999999999</v>
      </c>
      <c r="Q146" s="9">
        <v>32.254300000000001</v>
      </c>
      <c r="R146" s="9"/>
      <c r="S146" s="11"/>
    </row>
    <row r="147" spans="1:19" ht="15.75">
      <c r="A147" s="13">
        <v>45962</v>
      </c>
      <c r="B147" s="8">
        <f>6.9145 * CHOOSE(CONTROL!$C$15, $D$11, 100%, $F$11)</f>
        <v>6.9145000000000003</v>
      </c>
      <c r="C147" s="8">
        <f>6.9252 * CHOOSE(CONTROL!$C$15, $D$11, 100%, $F$11)</f>
        <v>6.9252000000000002</v>
      </c>
      <c r="D147" s="8">
        <f>6.9013 * CHOOSE( CONTROL!$C$15, $D$11, 100%, $F$11)</f>
        <v>6.9013</v>
      </c>
      <c r="E147" s="12">
        <f>6.9089 * CHOOSE( CONTROL!$C$15, $D$11, 100%, $F$11)</f>
        <v>6.9089</v>
      </c>
      <c r="F147" s="4">
        <f>7.5756 * CHOOSE(CONTROL!$C$15, $D$11, 100%, $F$11)</f>
        <v>7.5755999999999997</v>
      </c>
      <c r="G147" s="8">
        <f>6.7558 * CHOOSE( CONTROL!$C$15, $D$11, 100%, $F$11)</f>
        <v>6.7557999999999998</v>
      </c>
      <c r="H147" s="4">
        <f>7.6408 * CHOOSE(CONTROL!$C$15, $D$11, 100%, $F$11)</f>
        <v>7.6407999999999996</v>
      </c>
      <c r="I147" s="8">
        <f>6.7862 * CHOOSE(CONTROL!$C$15, $D$11, 100%, $F$11)</f>
        <v>6.7862</v>
      </c>
      <c r="J147" s="4">
        <f>6.6241 * CHOOSE(CONTROL!$C$15, $D$11, 100%, $F$11)</f>
        <v>6.6241000000000003</v>
      </c>
      <c r="K147" s="4"/>
      <c r="L147" s="9">
        <v>28.360600000000002</v>
      </c>
      <c r="M147" s="9">
        <v>11.6745</v>
      </c>
      <c r="N147" s="9">
        <v>4.7850000000000001</v>
      </c>
      <c r="O147" s="9">
        <v>0.36199999999999999</v>
      </c>
      <c r="P147" s="9">
        <v>1.2509999999999999</v>
      </c>
      <c r="Q147" s="9">
        <v>31.213799999999999</v>
      </c>
      <c r="R147" s="9"/>
      <c r="S147" s="11"/>
    </row>
    <row r="148" spans="1:19" ht="15.75">
      <c r="A148" s="13">
        <v>45992</v>
      </c>
      <c r="B148" s="8">
        <f>6.9019 * CHOOSE(CONTROL!$C$15, $D$11, 100%, $F$11)</f>
        <v>6.9019000000000004</v>
      </c>
      <c r="C148" s="8">
        <f>6.9127 * CHOOSE(CONTROL!$C$15, $D$11, 100%, $F$11)</f>
        <v>6.9127000000000001</v>
      </c>
      <c r="D148" s="8">
        <f>6.8904 * CHOOSE( CONTROL!$C$15, $D$11, 100%, $F$11)</f>
        <v>6.8903999999999996</v>
      </c>
      <c r="E148" s="12">
        <f>6.8974 * CHOOSE( CONTROL!$C$15, $D$11, 100%, $F$11)</f>
        <v>6.8974000000000002</v>
      </c>
      <c r="F148" s="4">
        <f>7.563 * CHOOSE(CONTROL!$C$15, $D$11, 100%, $F$11)</f>
        <v>7.5629999999999997</v>
      </c>
      <c r="G148" s="8">
        <f>6.7447 * CHOOSE( CONTROL!$C$15, $D$11, 100%, $F$11)</f>
        <v>6.7446999999999999</v>
      </c>
      <c r="H148" s="4">
        <f>7.6285 * CHOOSE(CONTROL!$C$15, $D$11, 100%, $F$11)</f>
        <v>7.6284999999999998</v>
      </c>
      <c r="I148" s="8">
        <f>6.7793 * CHOOSE(CONTROL!$C$15, $D$11, 100%, $F$11)</f>
        <v>6.7793000000000001</v>
      </c>
      <c r="J148" s="4">
        <f>6.6121 * CHOOSE(CONTROL!$C$15, $D$11, 100%, $F$11)</f>
        <v>6.6120999999999999</v>
      </c>
      <c r="K148" s="4"/>
      <c r="L148" s="9">
        <v>29.306000000000001</v>
      </c>
      <c r="M148" s="9">
        <v>12.063700000000001</v>
      </c>
      <c r="N148" s="9">
        <v>4.9444999999999997</v>
      </c>
      <c r="O148" s="9">
        <v>0.37409999999999999</v>
      </c>
      <c r="P148" s="9">
        <v>1.2927</v>
      </c>
      <c r="Q148" s="9">
        <v>32.254300000000001</v>
      </c>
      <c r="R148" s="9"/>
      <c r="S148" s="11"/>
    </row>
    <row r="149" spans="1:19" ht="15.75">
      <c r="A149" s="13">
        <v>46023</v>
      </c>
      <c r="B149" s="8">
        <f>7.1492 * CHOOSE(CONTROL!$C$15, $D$11, 100%, $F$11)</f>
        <v>7.1492000000000004</v>
      </c>
      <c r="C149" s="8">
        <f>7.16 * CHOOSE(CONTROL!$C$15, $D$11, 100%, $F$11)</f>
        <v>7.16</v>
      </c>
      <c r="D149" s="8">
        <f>7.1416 * CHOOSE( CONTROL!$C$15, $D$11, 100%, $F$11)</f>
        <v>7.1416000000000004</v>
      </c>
      <c r="E149" s="12">
        <f>7.1472 * CHOOSE( CONTROL!$C$15, $D$11, 100%, $F$11)</f>
        <v>7.1471999999999998</v>
      </c>
      <c r="F149" s="4">
        <f>7.8103 * CHOOSE(CONTROL!$C$15, $D$11, 100%, $F$11)</f>
        <v>7.8102999999999998</v>
      </c>
      <c r="G149" s="8">
        <f>6.9821 * CHOOSE( CONTROL!$C$15, $D$11, 100%, $F$11)</f>
        <v>6.9821</v>
      </c>
      <c r="H149" s="4">
        <f>7.8703 * CHOOSE(CONTROL!$C$15, $D$11, 100%, $F$11)</f>
        <v>7.8703000000000003</v>
      </c>
      <c r="I149" s="8">
        <f>6.9723 * CHOOSE(CONTROL!$C$15, $D$11, 100%, $F$11)</f>
        <v>6.9722999999999997</v>
      </c>
      <c r="J149" s="4">
        <f>6.8495 * CHOOSE(CONTROL!$C$15, $D$11, 100%, $F$11)</f>
        <v>6.8494999999999999</v>
      </c>
      <c r="K149" s="4"/>
      <c r="L149" s="9">
        <v>29.306000000000001</v>
      </c>
      <c r="M149" s="9">
        <v>12.063700000000001</v>
      </c>
      <c r="N149" s="9">
        <v>4.9444999999999997</v>
      </c>
      <c r="O149" s="9">
        <v>0.37409999999999999</v>
      </c>
      <c r="P149" s="9">
        <v>1.2927</v>
      </c>
      <c r="Q149" s="9">
        <v>32.070099999999996</v>
      </c>
      <c r="R149" s="9"/>
      <c r="S149" s="11"/>
    </row>
    <row r="150" spans="1:19" ht="15.75">
      <c r="A150" s="13">
        <v>46054</v>
      </c>
      <c r="B150" s="8">
        <f>6.688 * CHOOSE(CONTROL!$C$15, $D$11, 100%, $F$11)</f>
        <v>6.6879999999999997</v>
      </c>
      <c r="C150" s="8">
        <f>6.6988 * CHOOSE(CONTROL!$C$15, $D$11, 100%, $F$11)</f>
        <v>6.6988000000000003</v>
      </c>
      <c r="D150" s="8">
        <f>6.6802 * CHOOSE( CONTROL!$C$15, $D$11, 100%, $F$11)</f>
        <v>6.6802000000000001</v>
      </c>
      <c r="E150" s="12">
        <f>6.6859 * CHOOSE( CONTROL!$C$15, $D$11, 100%, $F$11)</f>
        <v>6.6859000000000002</v>
      </c>
      <c r="F150" s="4">
        <f>7.3491 * CHOOSE(CONTROL!$C$15, $D$11, 100%, $F$11)</f>
        <v>7.3491</v>
      </c>
      <c r="G150" s="8">
        <f>6.5311 * CHOOSE( CONTROL!$C$15, $D$11, 100%, $F$11)</f>
        <v>6.5311000000000003</v>
      </c>
      <c r="H150" s="4">
        <f>7.4194 * CHOOSE(CONTROL!$C$15, $D$11, 100%, $F$11)</f>
        <v>7.4194000000000004</v>
      </c>
      <c r="I150" s="8">
        <f>6.5288 * CHOOSE(CONTROL!$C$15, $D$11, 100%, $F$11)</f>
        <v>6.5288000000000004</v>
      </c>
      <c r="J150" s="4">
        <f>6.4067 * CHOOSE(CONTROL!$C$15, $D$11, 100%, $F$11)</f>
        <v>6.4066999999999998</v>
      </c>
      <c r="K150" s="4"/>
      <c r="L150" s="9">
        <v>26.469899999999999</v>
      </c>
      <c r="M150" s="9">
        <v>10.8962</v>
      </c>
      <c r="N150" s="9">
        <v>4.4660000000000002</v>
      </c>
      <c r="O150" s="9">
        <v>0.33789999999999998</v>
      </c>
      <c r="P150" s="9">
        <v>1.1676</v>
      </c>
      <c r="Q150" s="9">
        <v>28.9666</v>
      </c>
      <c r="R150" s="9"/>
      <c r="S150" s="11"/>
    </row>
    <row r="151" spans="1:19" ht="15.75">
      <c r="A151" s="13">
        <v>46082</v>
      </c>
      <c r="B151" s="8">
        <f>6.546 * CHOOSE(CONTROL!$C$15, $D$11, 100%, $F$11)</f>
        <v>6.5460000000000003</v>
      </c>
      <c r="C151" s="8">
        <f>6.5567 * CHOOSE(CONTROL!$C$15, $D$11, 100%, $F$11)</f>
        <v>6.5567000000000002</v>
      </c>
      <c r="D151" s="8">
        <f>6.5377 * CHOOSE( CONTROL!$C$15, $D$11, 100%, $F$11)</f>
        <v>6.5377000000000001</v>
      </c>
      <c r="E151" s="12">
        <f>6.5435 * CHOOSE( CONTROL!$C$15, $D$11, 100%, $F$11)</f>
        <v>6.5434999999999999</v>
      </c>
      <c r="F151" s="4">
        <f>7.2071 * CHOOSE(CONTROL!$C$15, $D$11, 100%, $F$11)</f>
        <v>7.2070999999999996</v>
      </c>
      <c r="G151" s="8">
        <f>6.3918 * CHOOSE( CONTROL!$C$15, $D$11, 100%, $F$11)</f>
        <v>6.3917999999999999</v>
      </c>
      <c r="H151" s="4">
        <f>7.2805 * CHOOSE(CONTROL!$C$15, $D$11, 100%, $F$11)</f>
        <v>7.2805</v>
      </c>
      <c r="I151" s="8">
        <f>6.3908 * CHOOSE(CONTROL!$C$15, $D$11, 100%, $F$11)</f>
        <v>6.3907999999999996</v>
      </c>
      <c r="J151" s="4">
        <f>6.2703 * CHOOSE(CONTROL!$C$15, $D$11, 100%, $F$11)</f>
        <v>6.2702999999999998</v>
      </c>
      <c r="K151" s="4"/>
      <c r="L151" s="9">
        <v>29.306000000000001</v>
      </c>
      <c r="M151" s="9">
        <v>12.063700000000001</v>
      </c>
      <c r="N151" s="9">
        <v>4.9444999999999997</v>
      </c>
      <c r="O151" s="9">
        <v>0.37409999999999999</v>
      </c>
      <c r="P151" s="9">
        <v>1.2927</v>
      </c>
      <c r="Q151" s="9">
        <v>32.070099999999996</v>
      </c>
      <c r="R151" s="9"/>
      <c r="S151" s="11"/>
    </row>
    <row r="152" spans="1:19" ht="15.75">
      <c r="A152" s="13">
        <v>46113</v>
      </c>
      <c r="B152" s="8">
        <f>6.6452 * CHOOSE(CONTROL!$C$15, $D$11, 100%, $F$11)</f>
        <v>6.6452</v>
      </c>
      <c r="C152" s="8">
        <f>6.656 * CHOOSE(CONTROL!$C$15, $D$11, 100%, $F$11)</f>
        <v>6.6559999999999997</v>
      </c>
      <c r="D152" s="8">
        <f>6.6907 * CHOOSE( CONTROL!$C$15, $D$11, 100%, $F$11)</f>
        <v>6.6906999999999996</v>
      </c>
      <c r="E152" s="12">
        <f>6.678 * CHOOSE( CONTROL!$C$15, $D$11, 100%, $F$11)</f>
        <v>6.6779999999999999</v>
      </c>
      <c r="F152" s="4">
        <f>7.374 * CHOOSE(CONTROL!$C$15, $D$11, 100%, $F$11)</f>
        <v>7.3739999999999997</v>
      </c>
      <c r="G152" s="8">
        <f>6.4916 * CHOOSE( CONTROL!$C$15, $D$11, 100%, $F$11)</f>
        <v>6.4916</v>
      </c>
      <c r="H152" s="4">
        <f>7.4437 * CHOOSE(CONTROL!$C$15, $D$11, 100%, $F$11)</f>
        <v>7.4436999999999998</v>
      </c>
      <c r="I152" s="8">
        <f>6.4814 * CHOOSE(CONTROL!$C$15, $D$11, 100%, $F$11)</f>
        <v>6.4813999999999998</v>
      </c>
      <c r="J152" s="4">
        <f>6.3656 * CHOOSE(CONTROL!$C$15, $D$11, 100%, $F$11)</f>
        <v>6.3655999999999997</v>
      </c>
      <c r="K152" s="4"/>
      <c r="L152" s="9">
        <v>30.092199999999998</v>
      </c>
      <c r="M152" s="9">
        <v>11.6745</v>
      </c>
      <c r="N152" s="9">
        <v>4.7850000000000001</v>
      </c>
      <c r="O152" s="9">
        <v>0.36199999999999999</v>
      </c>
      <c r="P152" s="9">
        <v>1.1791</v>
      </c>
      <c r="Q152" s="9">
        <v>31.035599999999999</v>
      </c>
      <c r="R152" s="9"/>
      <c r="S152" s="11"/>
    </row>
    <row r="153" spans="1:19" ht="15.75">
      <c r="A153" s="13">
        <v>46143</v>
      </c>
      <c r="B153" s="8">
        <f>CHOOSE( CONTROL!$C$32, 6.8241, 6.8218) * CHOOSE(CONTROL!$C$15, $D$11, 100%, $F$11)</f>
        <v>6.8240999999999996</v>
      </c>
      <c r="C153" s="8">
        <f>CHOOSE( CONTROL!$C$32, 6.8346, 6.8323) * CHOOSE(CONTROL!$C$15, $D$11, 100%, $F$11)</f>
        <v>6.8346</v>
      </c>
      <c r="D153" s="8">
        <f>CHOOSE( CONTROL!$C$32, 6.8685, 6.8662) * CHOOSE( CONTROL!$C$15, $D$11, 100%, $F$11)</f>
        <v>6.8685</v>
      </c>
      <c r="E153" s="12">
        <f>CHOOSE( CONTROL!$C$32, 6.8546, 6.8523) * CHOOSE( CONTROL!$C$15, $D$11, 100%, $F$11)</f>
        <v>6.8545999999999996</v>
      </c>
      <c r="F153" s="4">
        <f>CHOOSE( CONTROL!$C$32, 7.553, 7.5507) * CHOOSE(CONTROL!$C$15, $D$11, 100%, $F$11)</f>
        <v>7.5529999999999999</v>
      </c>
      <c r="G153" s="8">
        <f>CHOOSE( CONTROL!$C$32, 6.6671, 6.6649) * CHOOSE( CONTROL!$C$15, $D$11, 100%, $F$11)</f>
        <v>6.6670999999999996</v>
      </c>
      <c r="H153" s="4">
        <f>CHOOSE( CONTROL!$C$32, 7.6187, 7.6164) * CHOOSE(CONTROL!$C$15, $D$11, 100%, $F$11)</f>
        <v>7.6186999999999996</v>
      </c>
      <c r="I153" s="8">
        <f>CHOOSE( CONTROL!$C$32, 6.6534, 6.6512) * CHOOSE(CONTROL!$C$15, $D$11, 100%, $F$11)</f>
        <v>6.6534000000000004</v>
      </c>
      <c r="J153" s="4">
        <f>CHOOSE( CONTROL!$C$32, 6.5374, 6.5352) * CHOOSE(CONTROL!$C$15, $D$11, 100%, $F$11)</f>
        <v>6.5373999999999999</v>
      </c>
      <c r="K153" s="4"/>
      <c r="L153" s="9">
        <v>30.7165</v>
      </c>
      <c r="M153" s="9">
        <v>12.063700000000001</v>
      </c>
      <c r="N153" s="9">
        <v>4.9444999999999997</v>
      </c>
      <c r="O153" s="9">
        <v>0.37409999999999999</v>
      </c>
      <c r="P153" s="9">
        <v>1.2183999999999999</v>
      </c>
      <c r="Q153" s="9">
        <v>32.070099999999996</v>
      </c>
      <c r="R153" s="9"/>
      <c r="S153" s="11"/>
    </row>
    <row r="154" spans="1:19" ht="15.75">
      <c r="A154" s="13">
        <v>46174</v>
      </c>
      <c r="B154" s="8">
        <f>CHOOSE( CONTROL!$C$32, 6.7146, 6.7123) * CHOOSE(CONTROL!$C$15, $D$11, 100%, $F$11)</f>
        <v>6.7145999999999999</v>
      </c>
      <c r="C154" s="8">
        <f>CHOOSE( CONTROL!$C$32, 6.7252, 6.7229) * CHOOSE(CONTROL!$C$15, $D$11, 100%, $F$11)</f>
        <v>6.7252000000000001</v>
      </c>
      <c r="D154" s="8">
        <f>CHOOSE( CONTROL!$C$32, 6.7592, 6.7569) * CHOOSE( CONTROL!$C$15, $D$11, 100%, $F$11)</f>
        <v>6.7591999999999999</v>
      </c>
      <c r="E154" s="12">
        <f>CHOOSE( CONTROL!$C$32, 6.7453, 6.743) * CHOOSE( CONTROL!$C$15, $D$11, 100%, $F$11)</f>
        <v>6.7453000000000003</v>
      </c>
      <c r="F154" s="4">
        <f>CHOOSE( CONTROL!$C$32, 7.4436, 7.4413) * CHOOSE(CONTROL!$C$15, $D$11, 100%, $F$11)</f>
        <v>7.4436</v>
      </c>
      <c r="G154" s="8">
        <f>CHOOSE( CONTROL!$C$32, 6.5604, 6.5581) * CHOOSE( CONTROL!$C$15, $D$11, 100%, $F$11)</f>
        <v>6.5603999999999996</v>
      </c>
      <c r="H154" s="4">
        <f>CHOOSE( CONTROL!$C$32, 7.5117, 7.5094) * CHOOSE(CONTROL!$C$15, $D$11, 100%, $F$11)</f>
        <v>7.5117000000000003</v>
      </c>
      <c r="I154" s="8">
        <f>CHOOSE( CONTROL!$C$32, 6.549, 6.5468) * CHOOSE(CONTROL!$C$15, $D$11, 100%, $F$11)</f>
        <v>6.5490000000000004</v>
      </c>
      <c r="J154" s="4">
        <f>CHOOSE( CONTROL!$C$32, 6.4324, 6.4302) * CHOOSE(CONTROL!$C$15, $D$11, 100%, $F$11)</f>
        <v>6.4324000000000003</v>
      </c>
      <c r="K154" s="4"/>
      <c r="L154" s="9">
        <v>29.7257</v>
      </c>
      <c r="M154" s="9">
        <v>11.6745</v>
      </c>
      <c r="N154" s="9">
        <v>4.7850000000000001</v>
      </c>
      <c r="O154" s="9">
        <v>0.36199999999999999</v>
      </c>
      <c r="P154" s="9">
        <v>1.1791</v>
      </c>
      <c r="Q154" s="9">
        <v>31.035599999999999</v>
      </c>
      <c r="R154" s="9"/>
      <c r="S154" s="11"/>
    </row>
    <row r="155" spans="1:19" ht="15.75">
      <c r="A155" s="13">
        <v>46204</v>
      </c>
      <c r="B155" s="8">
        <f>CHOOSE( CONTROL!$C$32, 7.0028, 7.0005) * CHOOSE(CONTROL!$C$15, $D$11, 100%, $F$11)</f>
        <v>7.0027999999999997</v>
      </c>
      <c r="C155" s="8">
        <f>CHOOSE( CONTROL!$C$32, 7.0134, 7.0111) * CHOOSE(CONTROL!$C$15, $D$11, 100%, $F$11)</f>
        <v>7.0133999999999999</v>
      </c>
      <c r="D155" s="8">
        <f>CHOOSE( CONTROL!$C$32, 7.0476, 7.0453) * CHOOSE( CONTROL!$C$15, $D$11, 100%, $F$11)</f>
        <v>7.0476000000000001</v>
      </c>
      <c r="E155" s="12">
        <f>CHOOSE( CONTROL!$C$32, 7.0336, 7.0313) * CHOOSE( CONTROL!$C$15, $D$11, 100%, $F$11)</f>
        <v>7.0335999999999999</v>
      </c>
      <c r="F155" s="4">
        <f>CHOOSE( CONTROL!$C$32, 7.7318, 7.7295) * CHOOSE(CONTROL!$C$15, $D$11, 100%, $F$11)</f>
        <v>7.7317999999999998</v>
      </c>
      <c r="G155" s="8">
        <f>CHOOSE( CONTROL!$C$32, 6.8424, 6.8402) * CHOOSE( CONTROL!$C$15, $D$11, 100%, $F$11)</f>
        <v>6.8423999999999996</v>
      </c>
      <c r="H155" s="4">
        <f>CHOOSE( CONTROL!$C$32, 7.7935, 7.7912) * CHOOSE(CONTROL!$C$15, $D$11, 100%, $F$11)</f>
        <v>7.7934999999999999</v>
      </c>
      <c r="I155" s="8">
        <f>CHOOSE( CONTROL!$C$32, 6.8268, 6.8246) * CHOOSE(CONTROL!$C$15, $D$11, 100%, $F$11)</f>
        <v>6.8268000000000004</v>
      </c>
      <c r="J155" s="4">
        <f>CHOOSE( CONTROL!$C$32, 6.7091, 6.7069) * CHOOSE(CONTROL!$C$15, $D$11, 100%, $F$11)</f>
        <v>6.7091000000000003</v>
      </c>
      <c r="K155" s="4"/>
      <c r="L155" s="9">
        <v>30.7165</v>
      </c>
      <c r="M155" s="9">
        <v>12.063700000000001</v>
      </c>
      <c r="N155" s="9">
        <v>4.9444999999999997</v>
      </c>
      <c r="O155" s="9">
        <v>0.37409999999999999</v>
      </c>
      <c r="P155" s="9">
        <v>1.2183999999999999</v>
      </c>
      <c r="Q155" s="9">
        <v>32.070099999999996</v>
      </c>
      <c r="R155" s="9"/>
      <c r="S155" s="11"/>
    </row>
    <row r="156" spans="1:19" ht="15.75">
      <c r="A156" s="13">
        <v>46235</v>
      </c>
      <c r="B156" s="8">
        <f>CHOOSE( CONTROL!$C$32, 6.4636, 6.4613) * CHOOSE(CONTROL!$C$15, $D$11, 100%, $F$11)</f>
        <v>6.4635999999999996</v>
      </c>
      <c r="C156" s="8">
        <f>CHOOSE( CONTROL!$C$32, 6.4741, 6.4718) * CHOOSE(CONTROL!$C$15, $D$11, 100%, $F$11)</f>
        <v>6.4741</v>
      </c>
      <c r="D156" s="8">
        <f>CHOOSE( CONTROL!$C$32, 6.5084, 6.5061) * CHOOSE( CONTROL!$C$15, $D$11, 100%, $F$11)</f>
        <v>6.5084</v>
      </c>
      <c r="E156" s="12">
        <f>CHOOSE( CONTROL!$C$32, 6.4944, 6.4921) * CHOOSE( CONTROL!$C$15, $D$11, 100%, $F$11)</f>
        <v>6.4943999999999997</v>
      </c>
      <c r="F156" s="4">
        <f>CHOOSE( CONTROL!$C$32, 7.1925, 7.1902) * CHOOSE(CONTROL!$C$15, $D$11, 100%, $F$11)</f>
        <v>7.1924999999999999</v>
      </c>
      <c r="G156" s="8">
        <f>CHOOSE( CONTROL!$C$32, 6.3153, 6.3131) * CHOOSE( CONTROL!$C$15, $D$11, 100%, $F$11)</f>
        <v>6.3152999999999997</v>
      </c>
      <c r="H156" s="4">
        <f>CHOOSE( CONTROL!$C$32, 7.2662, 7.264) * CHOOSE(CONTROL!$C$15, $D$11, 100%, $F$11)</f>
        <v>7.2662000000000004</v>
      </c>
      <c r="I156" s="8">
        <f>CHOOSE( CONTROL!$C$32, 6.3091, 6.3069) * CHOOSE(CONTROL!$C$15, $D$11, 100%, $F$11)</f>
        <v>6.3090999999999999</v>
      </c>
      <c r="J156" s="4">
        <f>CHOOSE( CONTROL!$C$32, 6.1913, 6.1891) * CHOOSE(CONTROL!$C$15, $D$11, 100%, $F$11)</f>
        <v>6.1913</v>
      </c>
      <c r="K156" s="4"/>
      <c r="L156" s="9">
        <v>30.7165</v>
      </c>
      <c r="M156" s="9">
        <v>12.063700000000001</v>
      </c>
      <c r="N156" s="9">
        <v>4.9444999999999997</v>
      </c>
      <c r="O156" s="9">
        <v>0.37409999999999999</v>
      </c>
      <c r="P156" s="9">
        <v>1.2183999999999999</v>
      </c>
      <c r="Q156" s="9">
        <v>32.070099999999996</v>
      </c>
      <c r="R156" s="9"/>
      <c r="S156" s="11"/>
    </row>
    <row r="157" spans="1:19" ht="15.75">
      <c r="A157" s="13">
        <v>46266</v>
      </c>
      <c r="B157" s="8">
        <f>CHOOSE( CONTROL!$C$32, 6.3285, 6.3262) * CHOOSE(CONTROL!$C$15, $D$11, 100%, $F$11)</f>
        <v>6.3285</v>
      </c>
      <c r="C157" s="8">
        <f>CHOOSE( CONTROL!$C$32, 6.3391, 6.3368) * CHOOSE(CONTROL!$C$15, $D$11, 100%, $F$11)</f>
        <v>6.3391000000000002</v>
      </c>
      <c r="D157" s="8">
        <f>CHOOSE( CONTROL!$C$32, 6.3733, 6.371) * CHOOSE( CONTROL!$C$15, $D$11, 100%, $F$11)</f>
        <v>6.3733000000000004</v>
      </c>
      <c r="E157" s="12">
        <f>CHOOSE( CONTROL!$C$32, 6.3593, 6.357) * CHOOSE( CONTROL!$C$15, $D$11, 100%, $F$11)</f>
        <v>6.3593000000000002</v>
      </c>
      <c r="F157" s="4">
        <f>CHOOSE( CONTROL!$C$32, 7.0575, 7.0552) * CHOOSE(CONTROL!$C$15, $D$11, 100%, $F$11)</f>
        <v>7.0575000000000001</v>
      </c>
      <c r="G157" s="8">
        <f>CHOOSE( CONTROL!$C$32, 6.1833, 6.181) * CHOOSE( CONTROL!$C$15, $D$11, 100%, $F$11)</f>
        <v>6.1833</v>
      </c>
      <c r="H157" s="4">
        <f>CHOOSE( CONTROL!$C$32, 7.1342, 7.132) * CHOOSE(CONTROL!$C$15, $D$11, 100%, $F$11)</f>
        <v>7.1341999999999999</v>
      </c>
      <c r="I157" s="8">
        <f>CHOOSE( CONTROL!$C$32, 6.1793, 6.1771) * CHOOSE(CONTROL!$C$15, $D$11, 100%, $F$11)</f>
        <v>6.1792999999999996</v>
      </c>
      <c r="J157" s="4">
        <f>CHOOSE( CONTROL!$C$32, 6.0617, 6.0595) * CHOOSE(CONTROL!$C$15, $D$11, 100%, $F$11)</f>
        <v>6.0617000000000001</v>
      </c>
      <c r="K157" s="4"/>
      <c r="L157" s="9">
        <v>29.7257</v>
      </c>
      <c r="M157" s="9">
        <v>11.6745</v>
      </c>
      <c r="N157" s="9">
        <v>4.7850000000000001</v>
      </c>
      <c r="O157" s="9">
        <v>0.36199999999999999</v>
      </c>
      <c r="P157" s="9">
        <v>1.1791</v>
      </c>
      <c r="Q157" s="9">
        <v>31.035599999999999</v>
      </c>
      <c r="R157" s="9"/>
      <c r="S157" s="11"/>
    </row>
    <row r="158" spans="1:19" ht="15.75">
      <c r="A158" s="13">
        <v>46296</v>
      </c>
      <c r="B158" s="8">
        <f>6.6067 * CHOOSE(CONTROL!$C$15, $D$11, 100%, $F$11)</f>
        <v>6.6067</v>
      </c>
      <c r="C158" s="8">
        <f>6.6175 * CHOOSE(CONTROL!$C$15, $D$11, 100%, $F$11)</f>
        <v>6.6174999999999997</v>
      </c>
      <c r="D158" s="8">
        <f>6.6529 * CHOOSE( CONTROL!$C$15, $D$11, 100%, $F$11)</f>
        <v>6.6528999999999998</v>
      </c>
      <c r="E158" s="12">
        <f>6.6401 * CHOOSE( CONTROL!$C$15, $D$11, 100%, $F$11)</f>
        <v>6.6401000000000003</v>
      </c>
      <c r="F158" s="4">
        <f>7.3356 * CHOOSE(CONTROL!$C$15, $D$11, 100%, $F$11)</f>
        <v>7.3356000000000003</v>
      </c>
      <c r="G158" s="8">
        <f>6.4549 * CHOOSE( CONTROL!$C$15, $D$11, 100%, $F$11)</f>
        <v>6.4549000000000003</v>
      </c>
      <c r="H158" s="4">
        <f>7.4061 * CHOOSE(CONTROL!$C$15, $D$11, 100%, $F$11)</f>
        <v>7.4061000000000003</v>
      </c>
      <c r="I158" s="8">
        <f>6.4473 * CHOOSE(CONTROL!$C$15, $D$11, 100%, $F$11)</f>
        <v>6.4473000000000003</v>
      </c>
      <c r="J158" s="4">
        <f>6.3287 * CHOOSE(CONTROL!$C$15, $D$11, 100%, $F$11)</f>
        <v>6.3287000000000004</v>
      </c>
      <c r="K158" s="4"/>
      <c r="L158" s="9">
        <v>31.095300000000002</v>
      </c>
      <c r="M158" s="9">
        <v>12.063700000000001</v>
      </c>
      <c r="N158" s="9">
        <v>4.9444999999999997</v>
      </c>
      <c r="O158" s="9">
        <v>0.37409999999999999</v>
      </c>
      <c r="P158" s="9">
        <v>1.2183999999999999</v>
      </c>
      <c r="Q158" s="9">
        <v>32.070099999999996</v>
      </c>
      <c r="R158" s="9"/>
      <c r="S158" s="11"/>
    </row>
    <row r="159" spans="1:19" ht="15.75">
      <c r="A159" s="13">
        <v>46327</v>
      </c>
      <c r="B159" s="8">
        <f>7.1243 * CHOOSE(CONTROL!$C$15, $D$11, 100%, $F$11)</f>
        <v>7.1242999999999999</v>
      </c>
      <c r="C159" s="8">
        <f>7.135 * CHOOSE(CONTROL!$C$15, $D$11, 100%, $F$11)</f>
        <v>7.1349999999999998</v>
      </c>
      <c r="D159" s="8">
        <f>7.1111 * CHOOSE( CONTROL!$C$15, $D$11, 100%, $F$11)</f>
        <v>7.1111000000000004</v>
      </c>
      <c r="E159" s="12">
        <f>7.1187 * CHOOSE( CONTROL!$C$15, $D$11, 100%, $F$11)</f>
        <v>7.1186999999999996</v>
      </c>
      <c r="F159" s="4">
        <f>7.7854 * CHOOSE(CONTROL!$C$15, $D$11, 100%, $F$11)</f>
        <v>7.7854000000000001</v>
      </c>
      <c r="G159" s="8">
        <f>6.9609 * CHOOSE( CONTROL!$C$15, $D$11, 100%, $F$11)</f>
        <v>6.9608999999999996</v>
      </c>
      <c r="H159" s="4">
        <f>7.8459 * CHOOSE(CONTROL!$C$15, $D$11, 100%, $F$11)</f>
        <v>7.8459000000000003</v>
      </c>
      <c r="I159" s="8">
        <f>6.9877 * CHOOSE(CONTROL!$C$15, $D$11, 100%, $F$11)</f>
        <v>6.9877000000000002</v>
      </c>
      <c r="J159" s="4">
        <f>6.8255 * CHOOSE(CONTROL!$C$15, $D$11, 100%, $F$11)</f>
        <v>6.8254999999999999</v>
      </c>
      <c r="K159" s="4"/>
      <c r="L159" s="9">
        <v>28.360600000000002</v>
      </c>
      <c r="M159" s="9">
        <v>11.6745</v>
      </c>
      <c r="N159" s="9">
        <v>4.7850000000000001</v>
      </c>
      <c r="O159" s="9">
        <v>0.36199999999999999</v>
      </c>
      <c r="P159" s="9">
        <v>1.2509999999999999</v>
      </c>
      <c r="Q159" s="9">
        <v>31.035599999999999</v>
      </c>
      <c r="R159" s="9"/>
      <c r="S159" s="11"/>
    </row>
    <row r="160" spans="1:19" ht="15.75">
      <c r="A160" s="13">
        <v>46357</v>
      </c>
      <c r="B160" s="8">
        <f>7.1113 * CHOOSE(CONTROL!$C$15, $D$11, 100%, $F$11)</f>
        <v>7.1113</v>
      </c>
      <c r="C160" s="8">
        <f>7.1221 * CHOOSE(CONTROL!$C$15, $D$11, 100%, $F$11)</f>
        <v>7.1220999999999997</v>
      </c>
      <c r="D160" s="8">
        <f>7.0998 * CHOOSE( CONTROL!$C$15, $D$11, 100%, $F$11)</f>
        <v>7.0998000000000001</v>
      </c>
      <c r="E160" s="12">
        <f>7.1068 * CHOOSE( CONTROL!$C$15, $D$11, 100%, $F$11)</f>
        <v>7.1067999999999998</v>
      </c>
      <c r="F160" s="4">
        <f>7.7724 * CHOOSE(CONTROL!$C$15, $D$11, 100%, $F$11)</f>
        <v>7.7724000000000002</v>
      </c>
      <c r="G160" s="8">
        <f>6.9495 * CHOOSE( CONTROL!$C$15, $D$11, 100%, $F$11)</f>
        <v>6.9494999999999996</v>
      </c>
      <c r="H160" s="4">
        <f>7.8332 * CHOOSE(CONTROL!$C$15, $D$11, 100%, $F$11)</f>
        <v>7.8331999999999997</v>
      </c>
      <c r="I160" s="8">
        <f>6.9805 * CHOOSE(CONTROL!$C$15, $D$11, 100%, $F$11)</f>
        <v>6.9805000000000001</v>
      </c>
      <c r="J160" s="4">
        <f>6.8131 * CHOOSE(CONTROL!$C$15, $D$11, 100%, $F$11)</f>
        <v>6.8131000000000004</v>
      </c>
      <c r="K160" s="4"/>
      <c r="L160" s="9">
        <v>29.306000000000001</v>
      </c>
      <c r="M160" s="9">
        <v>12.063700000000001</v>
      </c>
      <c r="N160" s="9">
        <v>4.9444999999999997</v>
      </c>
      <c r="O160" s="9">
        <v>0.37409999999999999</v>
      </c>
      <c r="P160" s="9">
        <v>1.2927</v>
      </c>
      <c r="Q160" s="9">
        <v>32.070099999999996</v>
      </c>
      <c r="R160" s="9"/>
      <c r="S160" s="11"/>
    </row>
    <row r="161" spans="1:19" ht="15.75">
      <c r="A161" s="13">
        <v>46388</v>
      </c>
      <c r="B161" s="8">
        <f>7.3654 * CHOOSE(CONTROL!$C$15, $D$11, 100%, $F$11)</f>
        <v>7.3654000000000002</v>
      </c>
      <c r="C161" s="8">
        <f>7.3762 * CHOOSE(CONTROL!$C$15, $D$11, 100%, $F$11)</f>
        <v>7.3761999999999999</v>
      </c>
      <c r="D161" s="8">
        <f>7.3578 * CHOOSE( CONTROL!$C$15, $D$11, 100%, $F$11)</f>
        <v>7.3578000000000001</v>
      </c>
      <c r="E161" s="12">
        <f>7.3634 * CHOOSE( CONTROL!$C$15, $D$11, 100%, $F$11)</f>
        <v>7.3634000000000004</v>
      </c>
      <c r="F161" s="4">
        <f>8.0265 * CHOOSE(CONTROL!$C$15, $D$11, 100%, $F$11)</f>
        <v>8.0265000000000004</v>
      </c>
      <c r="G161" s="8">
        <f>7.1935 * CHOOSE( CONTROL!$C$15, $D$11, 100%, $F$11)</f>
        <v>7.1935000000000002</v>
      </c>
      <c r="H161" s="4">
        <f>8.0817 * CHOOSE(CONTROL!$C$15, $D$11, 100%, $F$11)</f>
        <v>8.0816999999999997</v>
      </c>
      <c r="I161" s="8">
        <f>7.1799 * CHOOSE(CONTROL!$C$15, $D$11, 100%, $F$11)</f>
        <v>7.1798999999999999</v>
      </c>
      <c r="J161" s="4">
        <f>7.0571 * CHOOSE(CONTROL!$C$15, $D$11, 100%, $F$11)</f>
        <v>7.0571000000000002</v>
      </c>
      <c r="K161" s="4"/>
      <c r="L161" s="9">
        <v>29.306000000000001</v>
      </c>
      <c r="M161" s="9">
        <v>12.063700000000001</v>
      </c>
      <c r="N161" s="9">
        <v>4.9444999999999997</v>
      </c>
      <c r="O161" s="9">
        <v>0.37409999999999999</v>
      </c>
      <c r="P161" s="9">
        <v>1.2927</v>
      </c>
      <c r="Q161" s="9">
        <v>31.885999999999999</v>
      </c>
      <c r="R161" s="9"/>
      <c r="S161" s="11"/>
    </row>
    <row r="162" spans="1:19" ht="15.75">
      <c r="A162" s="13">
        <v>46419</v>
      </c>
      <c r="B162" s="8">
        <f>6.8902 * CHOOSE(CONTROL!$C$15, $D$11, 100%, $F$11)</f>
        <v>6.8902000000000001</v>
      </c>
      <c r="C162" s="8">
        <f>6.901 * CHOOSE(CONTROL!$C$15, $D$11, 100%, $F$11)</f>
        <v>6.9009999999999998</v>
      </c>
      <c r="D162" s="8">
        <f>6.8824 * CHOOSE( CONTROL!$C$15, $D$11, 100%, $F$11)</f>
        <v>6.8823999999999996</v>
      </c>
      <c r="E162" s="12">
        <f>6.8881 * CHOOSE( CONTROL!$C$15, $D$11, 100%, $F$11)</f>
        <v>6.8880999999999997</v>
      </c>
      <c r="F162" s="4">
        <f>7.5513 * CHOOSE(CONTROL!$C$15, $D$11, 100%, $F$11)</f>
        <v>7.5513000000000003</v>
      </c>
      <c r="G162" s="8">
        <f>6.7288 * CHOOSE( CONTROL!$C$15, $D$11, 100%, $F$11)</f>
        <v>6.7287999999999997</v>
      </c>
      <c r="H162" s="4">
        <f>7.6171 * CHOOSE(CONTROL!$C$15, $D$11, 100%, $F$11)</f>
        <v>7.6170999999999998</v>
      </c>
      <c r="I162" s="8">
        <f>6.723 * CHOOSE(CONTROL!$C$15, $D$11, 100%, $F$11)</f>
        <v>6.7229999999999999</v>
      </c>
      <c r="J162" s="4">
        <f>6.6008 * CHOOSE(CONTROL!$C$15, $D$11, 100%, $F$11)</f>
        <v>6.6007999999999996</v>
      </c>
      <c r="K162" s="4"/>
      <c r="L162" s="9">
        <v>26.469899999999999</v>
      </c>
      <c r="M162" s="9">
        <v>10.8962</v>
      </c>
      <c r="N162" s="9">
        <v>4.4660000000000002</v>
      </c>
      <c r="O162" s="9">
        <v>0.33789999999999998</v>
      </c>
      <c r="P162" s="9">
        <v>1.1676</v>
      </c>
      <c r="Q162" s="9">
        <v>28.8002</v>
      </c>
      <c r="R162" s="9"/>
      <c r="S162" s="11"/>
    </row>
    <row r="163" spans="1:19" ht="15.75">
      <c r="A163" s="13">
        <v>46447</v>
      </c>
      <c r="B163" s="8">
        <f>6.7439 * CHOOSE(CONTROL!$C$15, $D$11, 100%, $F$11)</f>
        <v>6.7439</v>
      </c>
      <c r="C163" s="8">
        <f>6.7546 * CHOOSE(CONTROL!$C$15, $D$11, 100%, $F$11)</f>
        <v>6.7545999999999999</v>
      </c>
      <c r="D163" s="8">
        <f>6.7356 * CHOOSE( CONTROL!$C$15, $D$11, 100%, $F$11)</f>
        <v>6.7355999999999998</v>
      </c>
      <c r="E163" s="12">
        <f>6.7414 * CHOOSE( CONTROL!$C$15, $D$11, 100%, $F$11)</f>
        <v>6.7413999999999996</v>
      </c>
      <c r="F163" s="4">
        <f>7.405 * CHOOSE(CONTROL!$C$15, $D$11, 100%, $F$11)</f>
        <v>7.4050000000000002</v>
      </c>
      <c r="G163" s="8">
        <f>6.5853 * CHOOSE( CONTROL!$C$15, $D$11, 100%, $F$11)</f>
        <v>6.5853000000000002</v>
      </c>
      <c r="H163" s="4">
        <f>7.474 * CHOOSE(CONTROL!$C$15, $D$11, 100%, $F$11)</f>
        <v>7.4740000000000002</v>
      </c>
      <c r="I163" s="8">
        <f>6.5809 * CHOOSE(CONTROL!$C$15, $D$11, 100%, $F$11)</f>
        <v>6.5808999999999997</v>
      </c>
      <c r="J163" s="4">
        <f>6.4603 * CHOOSE(CONTROL!$C$15, $D$11, 100%, $F$11)</f>
        <v>6.4603000000000002</v>
      </c>
      <c r="K163" s="4"/>
      <c r="L163" s="9">
        <v>29.306000000000001</v>
      </c>
      <c r="M163" s="9">
        <v>12.063700000000001</v>
      </c>
      <c r="N163" s="9">
        <v>4.9444999999999997</v>
      </c>
      <c r="O163" s="9">
        <v>0.37409999999999999</v>
      </c>
      <c r="P163" s="9">
        <v>1.2927</v>
      </c>
      <c r="Q163" s="9">
        <v>31.885999999999999</v>
      </c>
      <c r="R163" s="9"/>
      <c r="S163" s="11"/>
    </row>
    <row r="164" spans="1:19" ht="15.75">
      <c r="A164" s="13">
        <v>46478</v>
      </c>
      <c r="B164" s="8">
        <f>6.8461 * CHOOSE(CONTROL!$C$15, $D$11, 100%, $F$11)</f>
        <v>6.8460999999999999</v>
      </c>
      <c r="C164" s="8">
        <f>6.8569 * CHOOSE(CONTROL!$C$15, $D$11, 100%, $F$11)</f>
        <v>6.8569000000000004</v>
      </c>
      <c r="D164" s="8">
        <f>6.8916 * CHOOSE( CONTROL!$C$15, $D$11, 100%, $F$11)</f>
        <v>6.8916000000000004</v>
      </c>
      <c r="E164" s="12">
        <f>6.8789 * CHOOSE( CONTROL!$C$15, $D$11, 100%, $F$11)</f>
        <v>6.8788999999999998</v>
      </c>
      <c r="F164" s="4">
        <f>7.5749 * CHOOSE(CONTROL!$C$15, $D$11, 100%, $F$11)</f>
        <v>7.5749000000000004</v>
      </c>
      <c r="G164" s="8">
        <f>6.6881 * CHOOSE( CONTROL!$C$15, $D$11, 100%, $F$11)</f>
        <v>6.6881000000000004</v>
      </c>
      <c r="H164" s="4">
        <f>7.6402 * CHOOSE(CONTROL!$C$15, $D$11, 100%, $F$11)</f>
        <v>7.6402000000000001</v>
      </c>
      <c r="I164" s="8">
        <f>6.6744 * CHOOSE(CONTROL!$C$15, $D$11, 100%, $F$11)</f>
        <v>6.6744000000000003</v>
      </c>
      <c r="J164" s="4">
        <f>6.5585 * CHOOSE(CONTROL!$C$15, $D$11, 100%, $F$11)</f>
        <v>6.5585000000000004</v>
      </c>
      <c r="K164" s="4"/>
      <c r="L164" s="9">
        <v>30.092199999999998</v>
      </c>
      <c r="M164" s="9">
        <v>11.6745</v>
      </c>
      <c r="N164" s="9">
        <v>4.7850000000000001</v>
      </c>
      <c r="O164" s="9">
        <v>0.36199999999999999</v>
      </c>
      <c r="P164" s="9">
        <v>1.1791</v>
      </c>
      <c r="Q164" s="9">
        <v>30.857399999999998</v>
      </c>
      <c r="R164" s="9"/>
      <c r="S164" s="11"/>
    </row>
    <row r="165" spans="1:19" ht="15.75">
      <c r="A165" s="13">
        <v>46508</v>
      </c>
      <c r="B165" s="8">
        <f>CHOOSE( CONTROL!$C$32, 7.0303, 7.028) * CHOOSE(CONTROL!$C$15, $D$11, 100%, $F$11)</f>
        <v>7.0303000000000004</v>
      </c>
      <c r="C165" s="8">
        <f>CHOOSE( CONTROL!$C$32, 7.0409, 7.0386) * CHOOSE(CONTROL!$C$15, $D$11, 100%, $F$11)</f>
        <v>7.0408999999999997</v>
      </c>
      <c r="D165" s="8">
        <f>CHOOSE( CONTROL!$C$32, 7.0747, 7.0724) * CHOOSE( CONTROL!$C$15, $D$11, 100%, $F$11)</f>
        <v>7.0747</v>
      </c>
      <c r="E165" s="12">
        <f>CHOOSE( CONTROL!$C$32, 7.0608, 7.0585) * CHOOSE( CONTROL!$C$15, $D$11, 100%, $F$11)</f>
        <v>7.0608000000000004</v>
      </c>
      <c r="F165" s="4">
        <f>CHOOSE( CONTROL!$C$32, 7.7593, 7.757) * CHOOSE(CONTROL!$C$15, $D$11, 100%, $F$11)</f>
        <v>7.7592999999999996</v>
      </c>
      <c r="G165" s="8">
        <f>CHOOSE( CONTROL!$C$32, 6.8688, 6.8665) * CHOOSE( CONTROL!$C$15, $D$11, 100%, $F$11)</f>
        <v>6.8688000000000002</v>
      </c>
      <c r="H165" s="4">
        <f>CHOOSE( CONTROL!$C$32, 7.8204, 7.8181) * CHOOSE(CONTROL!$C$15, $D$11, 100%, $F$11)</f>
        <v>7.8204000000000002</v>
      </c>
      <c r="I165" s="8">
        <f>CHOOSE( CONTROL!$C$32, 6.8515, 6.8493) * CHOOSE(CONTROL!$C$15, $D$11, 100%, $F$11)</f>
        <v>6.8514999999999997</v>
      </c>
      <c r="J165" s="4">
        <f>CHOOSE( CONTROL!$C$32, 6.7355, 6.7333) * CHOOSE(CONTROL!$C$15, $D$11, 100%, $F$11)</f>
        <v>6.7355</v>
      </c>
      <c r="K165" s="4"/>
      <c r="L165" s="9">
        <v>30.7165</v>
      </c>
      <c r="M165" s="9">
        <v>12.063700000000001</v>
      </c>
      <c r="N165" s="9">
        <v>4.9444999999999997</v>
      </c>
      <c r="O165" s="9">
        <v>0.37409999999999999</v>
      </c>
      <c r="P165" s="9">
        <v>1.2183999999999999</v>
      </c>
      <c r="Q165" s="9">
        <v>31.885999999999999</v>
      </c>
      <c r="R165" s="9"/>
      <c r="S165" s="11"/>
    </row>
    <row r="166" spans="1:19" ht="15.75">
      <c r="A166" s="13">
        <v>46539</v>
      </c>
      <c r="B166" s="8">
        <f>CHOOSE( CONTROL!$C$32, 6.9176, 6.9153) * CHOOSE(CONTROL!$C$15, $D$11, 100%, $F$11)</f>
        <v>6.9176000000000002</v>
      </c>
      <c r="C166" s="8">
        <f>CHOOSE( CONTROL!$C$32, 6.9281, 6.9258) * CHOOSE(CONTROL!$C$15, $D$11, 100%, $F$11)</f>
        <v>6.9280999999999997</v>
      </c>
      <c r="D166" s="8">
        <f>CHOOSE( CONTROL!$C$32, 6.9621, 6.9598) * CHOOSE( CONTROL!$C$15, $D$11, 100%, $F$11)</f>
        <v>6.9621000000000004</v>
      </c>
      <c r="E166" s="12">
        <f>CHOOSE( CONTROL!$C$32, 6.9482, 6.9459) * CHOOSE( CONTROL!$C$15, $D$11, 100%, $F$11)</f>
        <v>6.9481999999999999</v>
      </c>
      <c r="F166" s="4">
        <f>CHOOSE( CONTROL!$C$32, 7.6465, 7.6442) * CHOOSE(CONTROL!$C$15, $D$11, 100%, $F$11)</f>
        <v>7.6464999999999996</v>
      </c>
      <c r="G166" s="8">
        <f>CHOOSE( CONTROL!$C$32, 6.7588, 6.7565) * CHOOSE( CONTROL!$C$15, $D$11, 100%, $F$11)</f>
        <v>6.7587999999999999</v>
      </c>
      <c r="H166" s="4">
        <f>CHOOSE( CONTROL!$C$32, 7.7101, 7.7079) * CHOOSE(CONTROL!$C$15, $D$11, 100%, $F$11)</f>
        <v>7.7100999999999997</v>
      </c>
      <c r="I166" s="8">
        <f>CHOOSE( CONTROL!$C$32, 6.744, 6.7418) * CHOOSE(CONTROL!$C$15, $D$11, 100%, $F$11)</f>
        <v>6.7439999999999998</v>
      </c>
      <c r="J166" s="4">
        <f>CHOOSE( CONTROL!$C$32, 6.6272, 6.625) * CHOOSE(CONTROL!$C$15, $D$11, 100%, $F$11)</f>
        <v>6.6272000000000002</v>
      </c>
      <c r="K166" s="4"/>
      <c r="L166" s="9">
        <v>29.7257</v>
      </c>
      <c r="M166" s="9">
        <v>11.6745</v>
      </c>
      <c r="N166" s="9">
        <v>4.7850000000000001</v>
      </c>
      <c r="O166" s="9">
        <v>0.36199999999999999</v>
      </c>
      <c r="P166" s="9">
        <v>1.1791</v>
      </c>
      <c r="Q166" s="9">
        <v>30.857399999999998</v>
      </c>
      <c r="R166" s="9"/>
      <c r="S166" s="11"/>
    </row>
    <row r="167" spans="1:19" ht="15.75">
      <c r="A167" s="13">
        <v>46569</v>
      </c>
      <c r="B167" s="8">
        <f>CHOOSE( CONTROL!$C$32, 7.2145, 7.2122) * CHOOSE(CONTROL!$C$15, $D$11, 100%, $F$11)</f>
        <v>7.2145000000000001</v>
      </c>
      <c r="C167" s="8">
        <f>CHOOSE( CONTROL!$C$32, 7.2251, 7.2228) * CHOOSE(CONTROL!$C$15, $D$11, 100%, $F$11)</f>
        <v>7.2251000000000003</v>
      </c>
      <c r="D167" s="8">
        <f>CHOOSE( CONTROL!$C$32, 7.2593, 7.257) * CHOOSE( CONTROL!$C$15, $D$11, 100%, $F$11)</f>
        <v>7.2592999999999996</v>
      </c>
      <c r="E167" s="12">
        <f>CHOOSE( CONTROL!$C$32, 7.2453, 7.243) * CHOOSE( CONTROL!$C$15, $D$11, 100%, $F$11)</f>
        <v>7.2453000000000003</v>
      </c>
      <c r="F167" s="4">
        <f>CHOOSE( CONTROL!$C$32, 7.9434, 7.9411) * CHOOSE(CONTROL!$C$15, $D$11, 100%, $F$11)</f>
        <v>7.9433999999999996</v>
      </c>
      <c r="G167" s="8">
        <f>CHOOSE( CONTROL!$C$32, 7.0494, 7.0471) * CHOOSE( CONTROL!$C$15, $D$11, 100%, $F$11)</f>
        <v>7.0494000000000003</v>
      </c>
      <c r="H167" s="4">
        <f>CHOOSE( CONTROL!$C$32, 8.0004, 7.9982) * CHOOSE(CONTROL!$C$15, $D$11, 100%, $F$11)</f>
        <v>8.0004000000000008</v>
      </c>
      <c r="I167" s="8">
        <f>CHOOSE( CONTROL!$C$32, 7.0302, 7.028) * CHOOSE(CONTROL!$C$15, $D$11, 100%, $F$11)</f>
        <v>7.0301999999999998</v>
      </c>
      <c r="J167" s="4">
        <f>CHOOSE( CONTROL!$C$32, 6.9123, 6.9101) * CHOOSE(CONTROL!$C$15, $D$11, 100%, $F$11)</f>
        <v>6.9123000000000001</v>
      </c>
      <c r="K167" s="4"/>
      <c r="L167" s="9">
        <v>30.7165</v>
      </c>
      <c r="M167" s="9">
        <v>12.063700000000001</v>
      </c>
      <c r="N167" s="9">
        <v>4.9444999999999997</v>
      </c>
      <c r="O167" s="9">
        <v>0.37409999999999999</v>
      </c>
      <c r="P167" s="9">
        <v>1.2183999999999999</v>
      </c>
      <c r="Q167" s="9">
        <v>31.885999999999999</v>
      </c>
      <c r="R167" s="9"/>
      <c r="S167" s="11"/>
    </row>
    <row r="168" spans="1:19" ht="15.75">
      <c r="A168" s="13">
        <v>46600</v>
      </c>
      <c r="B168" s="8">
        <f>CHOOSE( CONTROL!$C$32, 6.6589, 6.6566) * CHOOSE(CONTROL!$C$15, $D$11, 100%, $F$11)</f>
        <v>6.6589</v>
      </c>
      <c r="C168" s="8">
        <f>CHOOSE( CONTROL!$C$32, 6.6695, 6.6672) * CHOOSE(CONTROL!$C$15, $D$11, 100%, $F$11)</f>
        <v>6.6695000000000002</v>
      </c>
      <c r="D168" s="8">
        <f>CHOOSE( CONTROL!$C$32, 6.7037, 6.7014) * CHOOSE( CONTROL!$C$15, $D$11, 100%, $F$11)</f>
        <v>6.7037000000000004</v>
      </c>
      <c r="E168" s="12">
        <f>CHOOSE( CONTROL!$C$32, 6.6897, 6.6874) * CHOOSE( CONTROL!$C$15, $D$11, 100%, $F$11)</f>
        <v>6.6897000000000002</v>
      </c>
      <c r="F168" s="4">
        <f>CHOOSE( CONTROL!$C$32, 7.3879, 7.3856) * CHOOSE(CONTROL!$C$15, $D$11, 100%, $F$11)</f>
        <v>7.3879000000000001</v>
      </c>
      <c r="G168" s="8">
        <f>CHOOSE( CONTROL!$C$32, 6.5063, 6.5041) * CHOOSE( CONTROL!$C$15, $D$11, 100%, $F$11)</f>
        <v>6.5063000000000004</v>
      </c>
      <c r="H168" s="4">
        <f>CHOOSE( CONTROL!$C$32, 7.4572, 7.455) * CHOOSE(CONTROL!$C$15, $D$11, 100%, $F$11)</f>
        <v>7.4572000000000003</v>
      </c>
      <c r="I168" s="8">
        <f>CHOOSE( CONTROL!$C$32, 6.4968, 6.4946) * CHOOSE(CONTROL!$C$15, $D$11, 100%, $F$11)</f>
        <v>6.4968000000000004</v>
      </c>
      <c r="J168" s="4">
        <f>CHOOSE( CONTROL!$C$32, 6.3789, 6.3767) * CHOOSE(CONTROL!$C$15, $D$11, 100%, $F$11)</f>
        <v>6.3788999999999998</v>
      </c>
      <c r="K168" s="4"/>
      <c r="L168" s="9">
        <v>30.7165</v>
      </c>
      <c r="M168" s="9">
        <v>12.063700000000001</v>
      </c>
      <c r="N168" s="9">
        <v>4.9444999999999997</v>
      </c>
      <c r="O168" s="9">
        <v>0.37409999999999999</v>
      </c>
      <c r="P168" s="9">
        <v>1.2183999999999999</v>
      </c>
      <c r="Q168" s="9">
        <v>31.885999999999999</v>
      </c>
      <c r="R168" s="9"/>
      <c r="S168" s="11"/>
    </row>
    <row r="169" spans="1:19" ht="15.75">
      <c r="A169" s="13">
        <v>46631</v>
      </c>
      <c r="B169" s="8">
        <f>CHOOSE( CONTROL!$C$32, 6.5198, 6.5175) * CHOOSE(CONTROL!$C$15, $D$11, 100%, $F$11)</f>
        <v>6.5198</v>
      </c>
      <c r="C169" s="8">
        <f>CHOOSE( CONTROL!$C$32, 6.5304, 6.5281) * CHOOSE(CONTROL!$C$15, $D$11, 100%, $F$11)</f>
        <v>6.5304000000000002</v>
      </c>
      <c r="D169" s="8">
        <f>CHOOSE( CONTROL!$C$32, 6.5646, 6.5623) * CHOOSE( CONTROL!$C$15, $D$11, 100%, $F$11)</f>
        <v>6.5646000000000004</v>
      </c>
      <c r="E169" s="12">
        <f>CHOOSE( CONTROL!$C$32, 6.5506, 6.5483) * CHOOSE( CONTROL!$C$15, $D$11, 100%, $F$11)</f>
        <v>6.5506000000000002</v>
      </c>
      <c r="F169" s="4">
        <f>CHOOSE( CONTROL!$C$32, 7.2487, 7.2464) * CHOOSE(CONTROL!$C$15, $D$11, 100%, $F$11)</f>
        <v>7.2487000000000004</v>
      </c>
      <c r="G169" s="8">
        <f>CHOOSE( CONTROL!$C$32, 6.3702, 6.368) * CHOOSE( CONTROL!$C$15, $D$11, 100%, $F$11)</f>
        <v>6.3701999999999996</v>
      </c>
      <c r="H169" s="4">
        <f>CHOOSE( CONTROL!$C$32, 7.3212, 7.319) * CHOOSE(CONTROL!$C$15, $D$11, 100%, $F$11)</f>
        <v>7.3212000000000002</v>
      </c>
      <c r="I169" s="8">
        <f>CHOOSE( CONTROL!$C$32, 6.363, 6.3608) * CHOOSE(CONTROL!$C$15, $D$11, 100%, $F$11)</f>
        <v>6.3630000000000004</v>
      </c>
      <c r="J169" s="4">
        <f>CHOOSE( CONTROL!$C$32, 6.2453, 6.2431) * CHOOSE(CONTROL!$C$15, $D$11, 100%, $F$11)</f>
        <v>6.2453000000000003</v>
      </c>
      <c r="K169" s="4"/>
      <c r="L169" s="9">
        <v>29.7257</v>
      </c>
      <c r="M169" s="9">
        <v>11.6745</v>
      </c>
      <c r="N169" s="9">
        <v>4.7850000000000001</v>
      </c>
      <c r="O169" s="9">
        <v>0.36199999999999999</v>
      </c>
      <c r="P169" s="9">
        <v>1.1791</v>
      </c>
      <c r="Q169" s="9">
        <v>30.857399999999998</v>
      </c>
      <c r="R169" s="9"/>
      <c r="S169" s="11"/>
    </row>
    <row r="170" spans="1:19" ht="15.75">
      <c r="A170" s="13">
        <v>46661</v>
      </c>
      <c r="B170" s="8">
        <f>6.8065 * CHOOSE(CONTROL!$C$15, $D$11, 100%, $F$11)</f>
        <v>6.8064999999999998</v>
      </c>
      <c r="C170" s="8">
        <f>6.8172 * CHOOSE(CONTROL!$C$15, $D$11, 100%, $F$11)</f>
        <v>6.8171999999999997</v>
      </c>
      <c r="D170" s="8">
        <f>6.8526 * CHOOSE( CONTROL!$C$15, $D$11, 100%, $F$11)</f>
        <v>6.8525999999999998</v>
      </c>
      <c r="E170" s="12">
        <f>6.8398 * CHOOSE( CONTROL!$C$15, $D$11, 100%, $F$11)</f>
        <v>6.8398000000000003</v>
      </c>
      <c r="F170" s="4">
        <f>7.5353 * CHOOSE(CONTROL!$C$15, $D$11, 100%, $F$11)</f>
        <v>7.5353000000000003</v>
      </c>
      <c r="G170" s="8">
        <f>6.6502 * CHOOSE( CONTROL!$C$15, $D$11, 100%, $F$11)</f>
        <v>6.6501999999999999</v>
      </c>
      <c r="H170" s="4">
        <f>7.6014 * CHOOSE(CONTROL!$C$15, $D$11, 100%, $F$11)</f>
        <v>7.6013999999999999</v>
      </c>
      <c r="I170" s="8">
        <f>6.6392 * CHOOSE(CONTROL!$C$15, $D$11, 100%, $F$11)</f>
        <v>6.6391999999999998</v>
      </c>
      <c r="J170" s="4">
        <f>6.5205 * CHOOSE(CONTROL!$C$15, $D$11, 100%, $F$11)</f>
        <v>6.5205000000000002</v>
      </c>
      <c r="K170" s="4"/>
      <c r="L170" s="9">
        <v>31.095300000000002</v>
      </c>
      <c r="M170" s="9">
        <v>12.063700000000001</v>
      </c>
      <c r="N170" s="9">
        <v>4.9444999999999997</v>
      </c>
      <c r="O170" s="9">
        <v>0.37409999999999999</v>
      </c>
      <c r="P170" s="9">
        <v>1.2183999999999999</v>
      </c>
      <c r="Q170" s="9">
        <v>31.885999999999999</v>
      </c>
      <c r="R170" s="9"/>
      <c r="S170" s="11"/>
    </row>
    <row r="171" spans="1:19" ht="15.75">
      <c r="A171" s="13">
        <v>46692</v>
      </c>
      <c r="B171" s="8">
        <f>7.3397 * CHOOSE(CONTROL!$C$15, $D$11, 100%, $F$11)</f>
        <v>7.3396999999999997</v>
      </c>
      <c r="C171" s="8">
        <f>7.3504 * CHOOSE(CONTROL!$C$15, $D$11, 100%, $F$11)</f>
        <v>7.3503999999999996</v>
      </c>
      <c r="D171" s="8">
        <f>7.3265 * CHOOSE( CONTROL!$C$15, $D$11, 100%, $F$11)</f>
        <v>7.3265000000000002</v>
      </c>
      <c r="E171" s="12">
        <f>7.3341 * CHOOSE( CONTROL!$C$15, $D$11, 100%, $F$11)</f>
        <v>7.3341000000000003</v>
      </c>
      <c r="F171" s="4">
        <f>8.0008 * CHOOSE(CONTROL!$C$15, $D$11, 100%, $F$11)</f>
        <v>8.0007999999999999</v>
      </c>
      <c r="G171" s="8">
        <f>7.1715 * CHOOSE( CONTROL!$C$15, $D$11, 100%, $F$11)</f>
        <v>7.1715</v>
      </c>
      <c r="H171" s="4">
        <f>8.0565 * CHOOSE(CONTROL!$C$15, $D$11, 100%, $F$11)</f>
        <v>8.0564999999999998</v>
      </c>
      <c r="I171" s="8">
        <f>7.1947 * CHOOSE(CONTROL!$C$15, $D$11, 100%, $F$11)</f>
        <v>7.1947000000000001</v>
      </c>
      <c r="J171" s="4">
        <f>7.0324 * CHOOSE(CONTROL!$C$15, $D$11, 100%, $F$11)</f>
        <v>7.0324</v>
      </c>
      <c r="K171" s="4"/>
      <c r="L171" s="9">
        <v>28.360600000000002</v>
      </c>
      <c r="M171" s="9">
        <v>11.6745</v>
      </c>
      <c r="N171" s="9">
        <v>4.7850000000000001</v>
      </c>
      <c r="O171" s="9">
        <v>0.36199999999999999</v>
      </c>
      <c r="P171" s="9">
        <v>1.2509999999999999</v>
      </c>
      <c r="Q171" s="9">
        <v>30.857399999999998</v>
      </c>
      <c r="R171" s="9"/>
      <c r="S171" s="11"/>
    </row>
    <row r="172" spans="1:19" ht="15.75">
      <c r="A172" s="13">
        <v>46722</v>
      </c>
      <c r="B172" s="8">
        <f>7.3264 * CHOOSE(CONTROL!$C$15, $D$11, 100%, $F$11)</f>
        <v>7.3263999999999996</v>
      </c>
      <c r="C172" s="8">
        <f>7.3371 * CHOOSE(CONTROL!$C$15, $D$11, 100%, $F$11)</f>
        <v>7.3371000000000004</v>
      </c>
      <c r="D172" s="8">
        <f>7.3149 * CHOOSE( CONTROL!$C$15, $D$11, 100%, $F$11)</f>
        <v>7.3148999999999997</v>
      </c>
      <c r="E172" s="12">
        <f>7.3219 * CHOOSE( CONTROL!$C$15, $D$11, 100%, $F$11)</f>
        <v>7.3219000000000003</v>
      </c>
      <c r="F172" s="4">
        <f>7.9875 * CHOOSE(CONTROL!$C$15, $D$11, 100%, $F$11)</f>
        <v>7.9874999999999998</v>
      </c>
      <c r="G172" s="8">
        <f>7.1597 * CHOOSE( CONTROL!$C$15, $D$11, 100%, $F$11)</f>
        <v>7.1597</v>
      </c>
      <c r="H172" s="4">
        <f>8.0435 * CHOOSE(CONTROL!$C$15, $D$11, 100%, $F$11)</f>
        <v>8.0434999999999999</v>
      </c>
      <c r="I172" s="8">
        <f>7.1871 * CHOOSE(CONTROL!$C$15, $D$11, 100%, $F$11)</f>
        <v>7.1871</v>
      </c>
      <c r="J172" s="4">
        <f>7.0196 * CHOOSE(CONTROL!$C$15, $D$11, 100%, $F$11)</f>
        <v>7.0195999999999996</v>
      </c>
      <c r="K172" s="4"/>
      <c r="L172" s="9">
        <v>29.306000000000001</v>
      </c>
      <c r="M172" s="9">
        <v>12.063700000000001</v>
      </c>
      <c r="N172" s="9">
        <v>4.9444999999999997</v>
      </c>
      <c r="O172" s="9">
        <v>0.37409999999999999</v>
      </c>
      <c r="P172" s="9">
        <v>1.2927</v>
      </c>
      <c r="Q172" s="9">
        <v>31.885999999999999</v>
      </c>
      <c r="R172" s="9"/>
      <c r="S172" s="11"/>
    </row>
    <row r="173" spans="1:19" ht="15.75">
      <c r="A173" s="13">
        <v>46753</v>
      </c>
      <c r="B173" s="8">
        <f>7.5874 * CHOOSE(CONTROL!$C$15, $D$11, 100%, $F$11)</f>
        <v>7.5873999999999997</v>
      </c>
      <c r="C173" s="8">
        <f>7.5982 * CHOOSE(CONTROL!$C$15, $D$11, 100%, $F$11)</f>
        <v>7.5982000000000003</v>
      </c>
      <c r="D173" s="8">
        <f>7.5798 * CHOOSE( CONTROL!$C$15, $D$11, 100%, $F$11)</f>
        <v>7.5797999999999996</v>
      </c>
      <c r="E173" s="12">
        <f>7.5854 * CHOOSE( CONTROL!$C$15, $D$11, 100%, $F$11)</f>
        <v>7.5853999999999999</v>
      </c>
      <c r="F173" s="4">
        <f>8.2485 * CHOOSE(CONTROL!$C$15, $D$11, 100%, $F$11)</f>
        <v>8.2484999999999999</v>
      </c>
      <c r="G173" s="8">
        <f>7.4105 * CHOOSE( CONTROL!$C$15, $D$11, 100%, $F$11)</f>
        <v>7.4104999999999999</v>
      </c>
      <c r="H173" s="4">
        <f>8.2987 * CHOOSE(CONTROL!$C$15, $D$11, 100%, $F$11)</f>
        <v>8.2987000000000002</v>
      </c>
      <c r="I173" s="8">
        <f>7.3932 * CHOOSE(CONTROL!$C$15, $D$11, 100%, $F$11)</f>
        <v>7.3932000000000002</v>
      </c>
      <c r="J173" s="4">
        <f>7.2702 * CHOOSE(CONTROL!$C$15, $D$11, 100%, $F$11)</f>
        <v>7.2702</v>
      </c>
      <c r="K173" s="4"/>
      <c r="L173" s="9">
        <v>29.306000000000001</v>
      </c>
      <c r="M173" s="9">
        <v>12.063700000000001</v>
      </c>
      <c r="N173" s="9">
        <v>4.9444999999999997</v>
      </c>
      <c r="O173" s="9">
        <v>0.37409999999999999</v>
      </c>
      <c r="P173" s="9">
        <v>1.2927</v>
      </c>
      <c r="Q173" s="9">
        <v>31.701799999999999</v>
      </c>
      <c r="R173" s="9"/>
      <c r="S173" s="11"/>
    </row>
    <row r="174" spans="1:19" ht="15.75">
      <c r="A174" s="13">
        <v>46784</v>
      </c>
      <c r="B174" s="8">
        <f>7.0979 * CHOOSE(CONTROL!$C$15, $D$11, 100%, $F$11)</f>
        <v>7.0979000000000001</v>
      </c>
      <c r="C174" s="8">
        <f>7.1086 * CHOOSE(CONTROL!$C$15, $D$11, 100%, $F$11)</f>
        <v>7.1086</v>
      </c>
      <c r="D174" s="8">
        <f>7.0901 * CHOOSE( CONTROL!$C$15, $D$11, 100%, $F$11)</f>
        <v>7.0900999999999996</v>
      </c>
      <c r="E174" s="12">
        <f>7.0957 * CHOOSE( CONTROL!$C$15, $D$11, 100%, $F$11)</f>
        <v>7.0956999999999999</v>
      </c>
      <c r="F174" s="4">
        <f>7.759 * CHOOSE(CONTROL!$C$15, $D$11, 100%, $F$11)</f>
        <v>7.7590000000000003</v>
      </c>
      <c r="G174" s="8">
        <f>6.9318 * CHOOSE( CONTROL!$C$15, $D$11, 100%, $F$11)</f>
        <v>6.9318</v>
      </c>
      <c r="H174" s="4">
        <f>7.8201 * CHOOSE(CONTROL!$C$15, $D$11, 100%, $F$11)</f>
        <v>7.8201000000000001</v>
      </c>
      <c r="I174" s="8">
        <f>6.9224 * CHOOSE(CONTROL!$C$15, $D$11, 100%, $F$11)</f>
        <v>6.9223999999999997</v>
      </c>
      <c r="J174" s="4">
        <f>6.8002 * CHOOSE(CONTROL!$C$15, $D$11, 100%, $F$11)</f>
        <v>6.8002000000000002</v>
      </c>
      <c r="K174" s="4"/>
      <c r="L174" s="9">
        <v>27.415299999999998</v>
      </c>
      <c r="M174" s="9">
        <v>11.285299999999999</v>
      </c>
      <c r="N174" s="9">
        <v>4.6254999999999997</v>
      </c>
      <c r="O174" s="9">
        <v>0.34989999999999999</v>
      </c>
      <c r="P174" s="9">
        <v>1.2093</v>
      </c>
      <c r="Q174" s="9">
        <v>29.656600000000001</v>
      </c>
      <c r="R174" s="9"/>
      <c r="S174" s="11"/>
    </row>
    <row r="175" spans="1:19" ht="15.75">
      <c r="A175" s="13">
        <v>46813</v>
      </c>
      <c r="B175" s="8">
        <f>6.9471 * CHOOSE(CONTROL!$C$15, $D$11, 100%, $F$11)</f>
        <v>6.9470999999999998</v>
      </c>
      <c r="C175" s="8">
        <f>6.9578 * CHOOSE(CONTROL!$C$15, $D$11, 100%, $F$11)</f>
        <v>6.9577999999999998</v>
      </c>
      <c r="D175" s="8">
        <f>6.9388 * CHOOSE( CONTROL!$C$15, $D$11, 100%, $F$11)</f>
        <v>6.9387999999999996</v>
      </c>
      <c r="E175" s="12">
        <f>6.9446 * CHOOSE( CONTROL!$C$15, $D$11, 100%, $F$11)</f>
        <v>6.9446000000000003</v>
      </c>
      <c r="F175" s="4">
        <f>7.6082 * CHOOSE(CONTROL!$C$15, $D$11, 100%, $F$11)</f>
        <v>7.6082000000000001</v>
      </c>
      <c r="G175" s="8">
        <f>6.784 * CHOOSE( CONTROL!$C$15, $D$11, 100%, $F$11)</f>
        <v>6.7839999999999998</v>
      </c>
      <c r="H175" s="4">
        <f>7.6726 * CHOOSE(CONTROL!$C$15, $D$11, 100%, $F$11)</f>
        <v>7.6726000000000001</v>
      </c>
      <c r="I175" s="8">
        <f>6.7761 * CHOOSE(CONTROL!$C$15, $D$11, 100%, $F$11)</f>
        <v>6.7760999999999996</v>
      </c>
      <c r="J175" s="4">
        <f>6.6554 * CHOOSE(CONTROL!$C$15, $D$11, 100%, $F$11)</f>
        <v>6.6554000000000002</v>
      </c>
      <c r="K175" s="4"/>
      <c r="L175" s="9">
        <v>29.306000000000001</v>
      </c>
      <c r="M175" s="9">
        <v>12.063700000000001</v>
      </c>
      <c r="N175" s="9">
        <v>4.9444999999999997</v>
      </c>
      <c r="O175" s="9">
        <v>0.37409999999999999</v>
      </c>
      <c r="P175" s="9">
        <v>1.2927</v>
      </c>
      <c r="Q175" s="9">
        <v>31.701799999999999</v>
      </c>
      <c r="R175" s="9"/>
      <c r="S175" s="11"/>
    </row>
    <row r="176" spans="1:19" ht="15.75">
      <c r="A176" s="13">
        <v>46844</v>
      </c>
      <c r="B176" s="8">
        <f>7.0524 * CHOOSE(CONTROL!$C$15, $D$11, 100%, $F$11)</f>
        <v>7.0523999999999996</v>
      </c>
      <c r="C176" s="8">
        <f>7.0632 * CHOOSE(CONTROL!$C$15, $D$11, 100%, $F$11)</f>
        <v>7.0632000000000001</v>
      </c>
      <c r="D176" s="8">
        <f>7.0979 * CHOOSE( CONTROL!$C$15, $D$11, 100%, $F$11)</f>
        <v>7.0979000000000001</v>
      </c>
      <c r="E176" s="12">
        <f>7.0852 * CHOOSE( CONTROL!$C$15, $D$11, 100%, $F$11)</f>
        <v>7.0852000000000004</v>
      </c>
      <c r="F176" s="4">
        <f>7.7812 * CHOOSE(CONTROL!$C$15, $D$11, 100%, $F$11)</f>
        <v>7.7812000000000001</v>
      </c>
      <c r="G176" s="8">
        <f>6.8898 * CHOOSE( CONTROL!$C$15, $D$11, 100%, $F$11)</f>
        <v>6.8898000000000001</v>
      </c>
      <c r="H176" s="4">
        <f>7.8418 * CHOOSE(CONTROL!$C$15, $D$11, 100%, $F$11)</f>
        <v>7.8418000000000001</v>
      </c>
      <c r="I176" s="8">
        <f>6.8726 * CHOOSE(CONTROL!$C$15, $D$11, 100%, $F$11)</f>
        <v>6.8726000000000003</v>
      </c>
      <c r="J176" s="4">
        <f>6.7566 * CHOOSE(CONTROL!$C$15, $D$11, 100%, $F$11)</f>
        <v>6.7565999999999997</v>
      </c>
      <c r="K176" s="4"/>
      <c r="L176" s="9">
        <v>30.092199999999998</v>
      </c>
      <c r="M176" s="9">
        <v>11.6745</v>
      </c>
      <c r="N176" s="9">
        <v>4.7850000000000001</v>
      </c>
      <c r="O176" s="9">
        <v>0.36199999999999999</v>
      </c>
      <c r="P176" s="9">
        <v>1.1791</v>
      </c>
      <c r="Q176" s="9">
        <v>30.679200000000002</v>
      </c>
      <c r="R176" s="9"/>
      <c r="S176" s="11"/>
    </row>
    <row r="177" spans="1:19" ht="15.75">
      <c r="A177" s="13">
        <v>46874</v>
      </c>
      <c r="B177" s="8">
        <f>CHOOSE( CONTROL!$C$32, 7.2421, 7.2398) * CHOOSE(CONTROL!$C$15, $D$11, 100%, $F$11)</f>
        <v>7.2420999999999998</v>
      </c>
      <c r="C177" s="8">
        <f>CHOOSE( CONTROL!$C$32, 7.2527, 7.2504) * CHOOSE(CONTROL!$C$15, $D$11, 100%, $F$11)</f>
        <v>7.2526999999999999</v>
      </c>
      <c r="D177" s="8">
        <f>CHOOSE( CONTROL!$C$32, 7.2865, 7.2842) * CHOOSE( CONTROL!$C$15, $D$11, 100%, $F$11)</f>
        <v>7.2865000000000002</v>
      </c>
      <c r="E177" s="12">
        <f>CHOOSE( CONTROL!$C$32, 7.2726, 7.2703) * CHOOSE( CONTROL!$C$15, $D$11, 100%, $F$11)</f>
        <v>7.2725999999999997</v>
      </c>
      <c r="F177" s="4">
        <f>CHOOSE( CONTROL!$C$32, 7.9711, 7.9688) * CHOOSE(CONTROL!$C$15, $D$11, 100%, $F$11)</f>
        <v>7.9710999999999999</v>
      </c>
      <c r="G177" s="8">
        <f>CHOOSE( CONTROL!$C$32, 7.0758, 7.0736) * CHOOSE( CONTROL!$C$15, $D$11, 100%, $F$11)</f>
        <v>7.0758000000000001</v>
      </c>
      <c r="H177" s="4">
        <f>CHOOSE( CONTROL!$C$32, 8.0274, 8.0252) * CHOOSE(CONTROL!$C$15, $D$11, 100%, $F$11)</f>
        <v>8.0274000000000001</v>
      </c>
      <c r="I177" s="8">
        <f>CHOOSE( CONTROL!$C$32, 7.055, 7.0528) * CHOOSE(CONTROL!$C$15, $D$11, 100%, $F$11)</f>
        <v>7.0549999999999997</v>
      </c>
      <c r="J177" s="4">
        <f>CHOOSE( CONTROL!$C$32, 6.9388, 6.9366) * CHOOSE(CONTROL!$C$15, $D$11, 100%, $F$11)</f>
        <v>6.9387999999999996</v>
      </c>
      <c r="K177" s="4"/>
      <c r="L177" s="9">
        <v>30.7165</v>
      </c>
      <c r="M177" s="9">
        <v>12.063700000000001</v>
      </c>
      <c r="N177" s="9">
        <v>4.9444999999999997</v>
      </c>
      <c r="O177" s="9">
        <v>0.37409999999999999</v>
      </c>
      <c r="P177" s="9">
        <v>1.2183999999999999</v>
      </c>
      <c r="Q177" s="9">
        <v>31.701799999999999</v>
      </c>
      <c r="R177" s="9"/>
      <c r="S177" s="11"/>
    </row>
    <row r="178" spans="1:19" ht="15.75">
      <c r="A178" s="13">
        <v>46905</v>
      </c>
      <c r="B178" s="8">
        <f>CHOOSE( CONTROL!$C$32, 7.126, 7.1237) * CHOOSE(CONTROL!$C$15, $D$11, 100%, $F$11)</f>
        <v>7.1260000000000003</v>
      </c>
      <c r="C178" s="8">
        <f>CHOOSE( CONTROL!$C$32, 7.1365, 7.1342) * CHOOSE(CONTROL!$C$15, $D$11, 100%, $F$11)</f>
        <v>7.1364999999999998</v>
      </c>
      <c r="D178" s="8">
        <f>CHOOSE( CONTROL!$C$32, 7.1705, 7.1682) * CHOOSE( CONTROL!$C$15, $D$11, 100%, $F$11)</f>
        <v>7.1704999999999997</v>
      </c>
      <c r="E178" s="12">
        <f>CHOOSE( CONTROL!$C$32, 7.1566, 7.1543) * CHOOSE( CONTROL!$C$15, $D$11, 100%, $F$11)</f>
        <v>7.1566000000000001</v>
      </c>
      <c r="F178" s="4">
        <f>CHOOSE( CONTROL!$C$32, 7.8549, 7.8526) * CHOOSE(CONTROL!$C$15, $D$11, 100%, $F$11)</f>
        <v>7.8548999999999998</v>
      </c>
      <c r="G178" s="8">
        <f>CHOOSE( CONTROL!$C$32, 6.9625, 6.9603) * CHOOSE( CONTROL!$C$15, $D$11, 100%, $F$11)</f>
        <v>6.9625000000000004</v>
      </c>
      <c r="H178" s="4">
        <f>CHOOSE( CONTROL!$C$32, 7.9139, 7.9116) * CHOOSE(CONTROL!$C$15, $D$11, 100%, $F$11)</f>
        <v>7.9138999999999999</v>
      </c>
      <c r="I178" s="8">
        <f>CHOOSE( CONTROL!$C$32, 6.9442, 6.9419) * CHOOSE(CONTROL!$C$15, $D$11, 100%, $F$11)</f>
        <v>6.9442000000000004</v>
      </c>
      <c r="J178" s="4">
        <f>CHOOSE( CONTROL!$C$32, 6.8273, 6.8251) * CHOOSE(CONTROL!$C$15, $D$11, 100%, $F$11)</f>
        <v>6.8273000000000001</v>
      </c>
      <c r="K178" s="4"/>
      <c r="L178" s="9">
        <v>29.7257</v>
      </c>
      <c r="M178" s="9">
        <v>11.6745</v>
      </c>
      <c r="N178" s="9">
        <v>4.7850000000000001</v>
      </c>
      <c r="O178" s="9">
        <v>0.36199999999999999</v>
      </c>
      <c r="P178" s="9">
        <v>1.1791</v>
      </c>
      <c r="Q178" s="9">
        <v>30.679200000000002</v>
      </c>
      <c r="R178" s="9"/>
      <c r="S178" s="11"/>
    </row>
    <row r="179" spans="1:19" ht="15.75">
      <c r="A179" s="13">
        <v>46935</v>
      </c>
      <c r="B179" s="8">
        <f>CHOOSE( CONTROL!$C$32, 7.4318, 7.4295) * CHOOSE(CONTROL!$C$15, $D$11, 100%, $F$11)</f>
        <v>7.4318</v>
      </c>
      <c r="C179" s="8">
        <f>CHOOSE( CONTROL!$C$32, 7.4424, 7.4401) * CHOOSE(CONTROL!$C$15, $D$11, 100%, $F$11)</f>
        <v>7.4424000000000001</v>
      </c>
      <c r="D179" s="8">
        <f>CHOOSE( CONTROL!$C$32, 7.4766, 7.4743) * CHOOSE( CONTROL!$C$15, $D$11, 100%, $F$11)</f>
        <v>7.4766000000000004</v>
      </c>
      <c r="E179" s="12">
        <f>CHOOSE( CONTROL!$C$32, 7.4626, 7.4603) * CHOOSE( CONTROL!$C$15, $D$11, 100%, $F$11)</f>
        <v>7.4626000000000001</v>
      </c>
      <c r="F179" s="4">
        <f>CHOOSE( CONTROL!$C$32, 8.1608, 8.1585) * CHOOSE(CONTROL!$C$15, $D$11, 100%, $F$11)</f>
        <v>8.1608000000000001</v>
      </c>
      <c r="G179" s="8">
        <f>CHOOSE( CONTROL!$C$32, 7.2619, 7.2597) * CHOOSE( CONTROL!$C$15, $D$11, 100%, $F$11)</f>
        <v>7.2618999999999998</v>
      </c>
      <c r="H179" s="4">
        <f>CHOOSE( CONTROL!$C$32, 8.2129, 8.2107) * CHOOSE(CONTROL!$C$15, $D$11, 100%, $F$11)</f>
        <v>8.2128999999999994</v>
      </c>
      <c r="I179" s="8">
        <f>CHOOSE( CONTROL!$C$32, 7.239, 7.2368) * CHOOSE(CONTROL!$C$15, $D$11, 100%, $F$11)</f>
        <v>7.2389999999999999</v>
      </c>
      <c r="J179" s="4">
        <f>CHOOSE( CONTROL!$C$32, 7.121, 7.1188) * CHOOSE(CONTROL!$C$15, $D$11, 100%, $F$11)</f>
        <v>7.1210000000000004</v>
      </c>
      <c r="K179" s="4"/>
      <c r="L179" s="9">
        <v>30.7165</v>
      </c>
      <c r="M179" s="9">
        <v>12.063700000000001</v>
      </c>
      <c r="N179" s="9">
        <v>4.9444999999999997</v>
      </c>
      <c r="O179" s="9">
        <v>0.37409999999999999</v>
      </c>
      <c r="P179" s="9">
        <v>1.2183999999999999</v>
      </c>
      <c r="Q179" s="9">
        <v>31.701799999999999</v>
      </c>
      <c r="R179" s="9"/>
      <c r="S179" s="11"/>
    </row>
    <row r="180" spans="1:19" ht="15.75">
      <c r="A180" s="13">
        <v>46966</v>
      </c>
      <c r="B180" s="8">
        <f>CHOOSE( CONTROL!$C$32, 6.8595, 6.8572) * CHOOSE(CONTROL!$C$15, $D$11, 100%, $F$11)</f>
        <v>6.8594999999999997</v>
      </c>
      <c r="C180" s="8">
        <f>CHOOSE( CONTROL!$C$32, 6.8701, 6.8678) * CHOOSE(CONTROL!$C$15, $D$11, 100%, $F$11)</f>
        <v>6.8700999999999999</v>
      </c>
      <c r="D180" s="8">
        <f>CHOOSE( CONTROL!$C$32, 6.9043, 6.902) * CHOOSE( CONTROL!$C$15, $D$11, 100%, $F$11)</f>
        <v>6.9043000000000001</v>
      </c>
      <c r="E180" s="12">
        <f>CHOOSE( CONTROL!$C$32, 6.8903, 6.888) * CHOOSE( CONTROL!$C$15, $D$11, 100%, $F$11)</f>
        <v>6.8902999999999999</v>
      </c>
      <c r="F180" s="4">
        <f>CHOOSE( CONTROL!$C$32, 7.5884, 7.5861) * CHOOSE(CONTROL!$C$15, $D$11, 100%, $F$11)</f>
        <v>7.5884</v>
      </c>
      <c r="G180" s="8">
        <f>CHOOSE( CONTROL!$C$32, 6.7024, 6.7002) * CHOOSE( CONTROL!$C$15, $D$11, 100%, $F$11)</f>
        <v>6.7023999999999999</v>
      </c>
      <c r="H180" s="4">
        <f>CHOOSE( CONTROL!$C$32, 7.6533, 7.6511) * CHOOSE(CONTROL!$C$15, $D$11, 100%, $F$11)</f>
        <v>7.6532999999999998</v>
      </c>
      <c r="I180" s="8">
        <f>CHOOSE( CONTROL!$C$32, 6.6895, 6.6873) * CHOOSE(CONTROL!$C$15, $D$11, 100%, $F$11)</f>
        <v>6.6894999999999998</v>
      </c>
      <c r="J180" s="4">
        <f>CHOOSE( CONTROL!$C$32, 6.5715, 6.5693) * CHOOSE(CONTROL!$C$15, $D$11, 100%, $F$11)</f>
        <v>6.5715000000000003</v>
      </c>
      <c r="K180" s="4"/>
      <c r="L180" s="9">
        <v>30.7165</v>
      </c>
      <c r="M180" s="9">
        <v>12.063700000000001</v>
      </c>
      <c r="N180" s="9">
        <v>4.9444999999999997</v>
      </c>
      <c r="O180" s="9">
        <v>0.37409999999999999</v>
      </c>
      <c r="P180" s="9">
        <v>1.2183999999999999</v>
      </c>
      <c r="Q180" s="9">
        <v>31.701799999999999</v>
      </c>
      <c r="R180" s="9"/>
      <c r="S180" s="11"/>
    </row>
    <row r="181" spans="1:19" ht="15.75">
      <c r="A181" s="13">
        <v>46997</v>
      </c>
      <c r="B181" s="8">
        <f>CHOOSE( CONTROL!$C$32, 6.7162, 6.7139) * CHOOSE(CONTROL!$C$15, $D$11, 100%, $F$11)</f>
        <v>6.7161999999999997</v>
      </c>
      <c r="C181" s="8">
        <f>CHOOSE( CONTROL!$C$32, 6.7267, 6.7244) * CHOOSE(CONTROL!$C$15, $D$11, 100%, $F$11)</f>
        <v>6.7267000000000001</v>
      </c>
      <c r="D181" s="8">
        <f>CHOOSE( CONTROL!$C$32, 6.761, 6.7587) * CHOOSE( CONTROL!$C$15, $D$11, 100%, $F$11)</f>
        <v>6.7610000000000001</v>
      </c>
      <c r="E181" s="12">
        <f>CHOOSE( CONTROL!$C$32, 6.747, 6.7447) * CHOOSE( CONTROL!$C$15, $D$11, 100%, $F$11)</f>
        <v>6.7469999999999999</v>
      </c>
      <c r="F181" s="4">
        <f>CHOOSE( CONTROL!$C$32, 7.4451, 7.4428) * CHOOSE(CONTROL!$C$15, $D$11, 100%, $F$11)</f>
        <v>7.4451000000000001</v>
      </c>
      <c r="G181" s="8">
        <f>CHOOSE( CONTROL!$C$32, 6.5622, 6.56) * CHOOSE( CONTROL!$C$15, $D$11, 100%, $F$11)</f>
        <v>6.5621999999999998</v>
      </c>
      <c r="H181" s="4">
        <f>CHOOSE( CONTROL!$C$32, 7.5132, 7.511) * CHOOSE(CONTROL!$C$15, $D$11, 100%, $F$11)</f>
        <v>7.5132000000000003</v>
      </c>
      <c r="I181" s="8">
        <f>CHOOSE( CONTROL!$C$32, 6.5516, 6.5494) * CHOOSE(CONTROL!$C$15, $D$11, 100%, $F$11)</f>
        <v>6.5515999999999996</v>
      </c>
      <c r="J181" s="4">
        <f>CHOOSE( CONTROL!$C$32, 6.4339, 6.4317) * CHOOSE(CONTROL!$C$15, $D$11, 100%, $F$11)</f>
        <v>6.4339000000000004</v>
      </c>
      <c r="K181" s="4"/>
      <c r="L181" s="9">
        <v>29.7257</v>
      </c>
      <c r="M181" s="9">
        <v>11.6745</v>
      </c>
      <c r="N181" s="9">
        <v>4.7850000000000001</v>
      </c>
      <c r="O181" s="9">
        <v>0.36199999999999999</v>
      </c>
      <c r="P181" s="9">
        <v>1.1791</v>
      </c>
      <c r="Q181" s="9">
        <v>30.679200000000002</v>
      </c>
      <c r="R181" s="9"/>
      <c r="S181" s="11"/>
    </row>
    <row r="182" spans="1:19" ht="15.75">
      <c r="A182" s="13">
        <v>47027</v>
      </c>
      <c r="B182" s="8">
        <f>7.0116 * CHOOSE(CONTROL!$C$15, $D$11, 100%, $F$11)</f>
        <v>7.0115999999999996</v>
      </c>
      <c r="C182" s="8">
        <f>7.0223 * CHOOSE(CONTROL!$C$15, $D$11, 100%, $F$11)</f>
        <v>7.0223000000000004</v>
      </c>
      <c r="D182" s="8">
        <f>7.0577 * CHOOSE( CONTROL!$C$15, $D$11, 100%, $F$11)</f>
        <v>7.0576999999999996</v>
      </c>
      <c r="E182" s="12">
        <f>7.0449 * CHOOSE( CONTROL!$C$15, $D$11, 100%, $F$11)</f>
        <v>7.0449000000000002</v>
      </c>
      <c r="F182" s="4">
        <f>7.7404 * CHOOSE(CONTROL!$C$15, $D$11, 100%, $F$11)</f>
        <v>7.7404000000000002</v>
      </c>
      <c r="G182" s="8">
        <f>6.8508 * CHOOSE( CONTROL!$C$15, $D$11, 100%, $F$11)</f>
        <v>6.8507999999999996</v>
      </c>
      <c r="H182" s="4">
        <f>7.8019 * CHOOSE(CONTROL!$C$15, $D$11, 100%, $F$11)</f>
        <v>7.8018999999999998</v>
      </c>
      <c r="I182" s="8">
        <f>6.8362 * CHOOSE(CONTROL!$C$15, $D$11, 100%, $F$11)</f>
        <v>6.8361999999999998</v>
      </c>
      <c r="J182" s="4">
        <f>6.7174 * CHOOSE(CONTROL!$C$15, $D$11, 100%, $F$11)</f>
        <v>6.7173999999999996</v>
      </c>
      <c r="K182" s="4"/>
      <c r="L182" s="9">
        <v>31.095300000000002</v>
      </c>
      <c r="M182" s="9">
        <v>12.063700000000001</v>
      </c>
      <c r="N182" s="9">
        <v>4.9444999999999997</v>
      </c>
      <c r="O182" s="9">
        <v>0.37409999999999999</v>
      </c>
      <c r="P182" s="9">
        <v>1.2183999999999999</v>
      </c>
      <c r="Q182" s="9">
        <v>31.701799999999999</v>
      </c>
      <c r="R182" s="9"/>
      <c r="S182" s="11"/>
    </row>
    <row r="183" spans="1:19" ht="15.75">
      <c r="A183" s="13">
        <v>47058</v>
      </c>
      <c r="B183" s="8">
        <f>7.5609 * CHOOSE(CONTROL!$C$15, $D$11, 100%, $F$11)</f>
        <v>7.5609000000000002</v>
      </c>
      <c r="C183" s="8">
        <f>7.5717 * CHOOSE(CONTROL!$C$15, $D$11, 100%, $F$11)</f>
        <v>7.5716999999999999</v>
      </c>
      <c r="D183" s="8">
        <f>7.5477 * CHOOSE( CONTROL!$C$15, $D$11, 100%, $F$11)</f>
        <v>7.5476999999999999</v>
      </c>
      <c r="E183" s="12">
        <f>7.5553 * CHOOSE( CONTROL!$C$15, $D$11, 100%, $F$11)</f>
        <v>7.5552999999999999</v>
      </c>
      <c r="F183" s="4">
        <f>8.222 * CHOOSE(CONTROL!$C$15, $D$11, 100%, $F$11)</f>
        <v>8.2219999999999995</v>
      </c>
      <c r="G183" s="8">
        <f>7.3878 * CHOOSE( CONTROL!$C$15, $D$11, 100%, $F$11)</f>
        <v>7.3878000000000004</v>
      </c>
      <c r="H183" s="4">
        <f>8.2728 * CHOOSE(CONTROL!$C$15, $D$11, 100%, $F$11)</f>
        <v>8.2728000000000002</v>
      </c>
      <c r="I183" s="8">
        <f>7.4072 * CHOOSE(CONTROL!$C$15, $D$11, 100%, $F$11)</f>
        <v>7.4071999999999996</v>
      </c>
      <c r="J183" s="4">
        <f>7.2447 * CHOOSE(CONTROL!$C$15, $D$11, 100%, $F$11)</f>
        <v>7.2446999999999999</v>
      </c>
      <c r="K183" s="4"/>
      <c r="L183" s="9">
        <v>28.360600000000002</v>
      </c>
      <c r="M183" s="9">
        <v>11.6745</v>
      </c>
      <c r="N183" s="9">
        <v>4.7850000000000001</v>
      </c>
      <c r="O183" s="9">
        <v>0.36199999999999999</v>
      </c>
      <c r="P183" s="9">
        <v>1.2509999999999999</v>
      </c>
      <c r="Q183" s="9">
        <v>30.679200000000002</v>
      </c>
      <c r="R183" s="9"/>
      <c r="S183" s="11"/>
    </row>
    <row r="184" spans="1:19" ht="15.75">
      <c r="A184" s="13">
        <v>47088</v>
      </c>
      <c r="B184" s="8">
        <f>7.5472 * CHOOSE(CONTROL!$C$15, $D$11, 100%, $F$11)</f>
        <v>7.5472000000000001</v>
      </c>
      <c r="C184" s="8">
        <f>7.5579 * CHOOSE(CONTROL!$C$15, $D$11, 100%, $F$11)</f>
        <v>7.5579000000000001</v>
      </c>
      <c r="D184" s="8">
        <f>7.5357 * CHOOSE( CONTROL!$C$15, $D$11, 100%, $F$11)</f>
        <v>7.5357000000000003</v>
      </c>
      <c r="E184" s="12">
        <f>7.5427 * CHOOSE( CONTROL!$C$15, $D$11, 100%, $F$11)</f>
        <v>7.5427</v>
      </c>
      <c r="F184" s="4">
        <f>8.2083 * CHOOSE(CONTROL!$C$15, $D$11, 100%, $F$11)</f>
        <v>8.2082999999999995</v>
      </c>
      <c r="G184" s="8">
        <f>7.3756 * CHOOSE( CONTROL!$C$15, $D$11, 100%, $F$11)</f>
        <v>7.3756000000000004</v>
      </c>
      <c r="H184" s="4">
        <f>8.2594 * CHOOSE(CONTROL!$C$15, $D$11, 100%, $F$11)</f>
        <v>8.2593999999999994</v>
      </c>
      <c r="I184" s="8">
        <f>7.3992 * CHOOSE(CONTROL!$C$15, $D$11, 100%, $F$11)</f>
        <v>7.3992000000000004</v>
      </c>
      <c r="J184" s="4">
        <f>7.2316 * CHOOSE(CONTROL!$C$15, $D$11, 100%, $F$11)</f>
        <v>7.2316000000000003</v>
      </c>
      <c r="K184" s="4"/>
      <c r="L184" s="9">
        <v>29.306000000000001</v>
      </c>
      <c r="M184" s="9">
        <v>12.063700000000001</v>
      </c>
      <c r="N184" s="9">
        <v>4.9444999999999997</v>
      </c>
      <c r="O184" s="9">
        <v>0.37409999999999999</v>
      </c>
      <c r="P184" s="9">
        <v>1.2927</v>
      </c>
      <c r="Q184" s="9">
        <v>31.701799999999999</v>
      </c>
      <c r="R184" s="9"/>
      <c r="S184" s="11"/>
    </row>
    <row r="185" spans="1:19" ht="15.75">
      <c r="A185" s="13">
        <v>47119</v>
      </c>
      <c r="B185" s="8">
        <f>7.8153 * CHOOSE(CONTROL!$C$15, $D$11, 100%, $F$11)</f>
        <v>7.8152999999999997</v>
      </c>
      <c r="C185" s="8">
        <f>7.8261 * CHOOSE(CONTROL!$C$15, $D$11, 100%, $F$11)</f>
        <v>7.8261000000000003</v>
      </c>
      <c r="D185" s="8">
        <f>7.8077 * CHOOSE( CONTROL!$C$15, $D$11, 100%, $F$11)</f>
        <v>7.8076999999999996</v>
      </c>
      <c r="E185" s="12">
        <f>7.8133 * CHOOSE( CONTROL!$C$15, $D$11, 100%, $F$11)</f>
        <v>7.8132999999999999</v>
      </c>
      <c r="F185" s="4">
        <f>8.4764 * CHOOSE(CONTROL!$C$15, $D$11, 100%, $F$11)</f>
        <v>8.4763999999999999</v>
      </c>
      <c r="G185" s="8">
        <f>7.6334 * CHOOSE( CONTROL!$C$15, $D$11, 100%, $F$11)</f>
        <v>7.6334</v>
      </c>
      <c r="H185" s="4">
        <f>8.5215 * CHOOSE(CONTROL!$C$15, $D$11, 100%, $F$11)</f>
        <v>8.5214999999999996</v>
      </c>
      <c r="I185" s="8">
        <f>7.6121 * CHOOSE(CONTROL!$C$15, $D$11, 100%, $F$11)</f>
        <v>7.6120999999999999</v>
      </c>
      <c r="J185" s="4">
        <f>7.489 * CHOOSE(CONTROL!$C$15, $D$11, 100%, $F$11)</f>
        <v>7.4889999999999999</v>
      </c>
      <c r="K185" s="4"/>
      <c r="L185" s="9">
        <v>29.306000000000001</v>
      </c>
      <c r="M185" s="9">
        <v>12.063700000000001</v>
      </c>
      <c r="N185" s="9">
        <v>4.9444999999999997</v>
      </c>
      <c r="O185" s="9">
        <v>0.37409999999999999</v>
      </c>
      <c r="P185" s="9">
        <v>1.2927</v>
      </c>
      <c r="Q185" s="9">
        <v>31.517700000000001</v>
      </c>
      <c r="R185" s="9"/>
      <c r="S185" s="11"/>
    </row>
    <row r="186" spans="1:19" ht="15.75">
      <c r="A186" s="13">
        <v>47150</v>
      </c>
      <c r="B186" s="8">
        <f>7.311 * CHOOSE(CONTROL!$C$15, $D$11, 100%, $F$11)</f>
        <v>7.3109999999999999</v>
      </c>
      <c r="C186" s="8">
        <f>7.3218 * CHOOSE(CONTROL!$C$15, $D$11, 100%, $F$11)</f>
        <v>7.3217999999999996</v>
      </c>
      <c r="D186" s="8">
        <f>7.3032 * CHOOSE( CONTROL!$C$15, $D$11, 100%, $F$11)</f>
        <v>7.3032000000000004</v>
      </c>
      <c r="E186" s="12">
        <f>7.3089 * CHOOSE( CONTROL!$C$15, $D$11, 100%, $F$11)</f>
        <v>7.3089000000000004</v>
      </c>
      <c r="F186" s="4">
        <f>7.9721 * CHOOSE(CONTROL!$C$15, $D$11, 100%, $F$11)</f>
        <v>7.9721000000000002</v>
      </c>
      <c r="G186" s="8">
        <f>7.1402 * CHOOSE( CONTROL!$C$15, $D$11, 100%, $F$11)</f>
        <v>7.1402000000000001</v>
      </c>
      <c r="H186" s="4">
        <f>8.0285 * CHOOSE(CONTROL!$C$15, $D$11, 100%, $F$11)</f>
        <v>8.0284999999999993</v>
      </c>
      <c r="I186" s="8">
        <f>7.1272 * CHOOSE(CONTROL!$C$15, $D$11, 100%, $F$11)</f>
        <v>7.1272000000000002</v>
      </c>
      <c r="J186" s="4">
        <f>7.0049 * CHOOSE(CONTROL!$C$15, $D$11, 100%, $F$11)</f>
        <v>7.0049000000000001</v>
      </c>
      <c r="K186" s="4"/>
      <c r="L186" s="9">
        <v>26.469899999999999</v>
      </c>
      <c r="M186" s="9">
        <v>10.8962</v>
      </c>
      <c r="N186" s="9">
        <v>4.4660000000000002</v>
      </c>
      <c r="O186" s="9">
        <v>0.33789999999999998</v>
      </c>
      <c r="P186" s="9">
        <v>1.1676</v>
      </c>
      <c r="Q186" s="9">
        <v>28.467600000000001</v>
      </c>
      <c r="R186" s="9"/>
      <c r="S186" s="11"/>
    </row>
    <row r="187" spans="1:19" ht="15.75">
      <c r="A187" s="13">
        <v>47178</v>
      </c>
      <c r="B187" s="8">
        <f>7.1557 * CHOOSE(CONTROL!$C$15, $D$11, 100%, $F$11)</f>
        <v>7.1557000000000004</v>
      </c>
      <c r="C187" s="8">
        <f>7.1665 * CHOOSE(CONTROL!$C$15, $D$11, 100%, $F$11)</f>
        <v>7.1665000000000001</v>
      </c>
      <c r="D187" s="8">
        <f>7.1474 * CHOOSE( CONTROL!$C$15, $D$11, 100%, $F$11)</f>
        <v>7.1474000000000002</v>
      </c>
      <c r="E187" s="12">
        <f>7.1532 * CHOOSE( CONTROL!$C$15, $D$11, 100%, $F$11)</f>
        <v>7.1532</v>
      </c>
      <c r="F187" s="4">
        <f>7.8168 * CHOOSE(CONTROL!$C$15, $D$11, 100%, $F$11)</f>
        <v>7.8167999999999997</v>
      </c>
      <c r="G187" s="8">
        <f>6.988 * CHOOSE( CONTROL!$C$15, $D$11, 100%, $F$11)</f>
        <v>6.9880000000000004</v>
      </c>
      <c r="H187" s="4">
        <f>7.8766 * CHOOSE(CONTROL!$C$15, $D$11, 100%, $F$11)</f>
        <v>7.8765999999999998</v>
      </c>
      <c r="I187" s="8">
        <f>6.9765 * CHOOSE(CONTROL!$C$15, $D$11, 100%, $F$11)</f>
        <v>6.9764999999999997</v>
      </c>
      <c r="J187" s="4">
        <f>6.8558 * CHOOSE(CONTROL!$C$15, $D$11, 100%, $F$11)</f>
        <v>6.8558000000000003</v>
      </c>
      <c r="K187" s="4"/>
      <c r="L187" s="9">
        <v>29.306000000000001</v>
      </c>
      <c r="M187" s="9">
        <v>12.063700000000001</v>
      </c>
      <c r="N187" s="9">
        <v>4.9444999999999997</v>
      </c>
      <c r="O187" s="9">
        <v>0.37409999999999999</v>
      </c>
      <c r="P187" s="9">
        <v>1.2927</v>
      </c>
      <c r="Q187" s="9">
        <v>31.517700000000001</v>
      </c>
      <c r="R187" s="9"/>
      <c r="S187" s="11"/>
    </row>
    <row r="188" spans="1:19" ht="15.75">
      <c r="A188" s="13">
        <v>47209</v>
      </c>
      <c r="B188" s="8">
        <f>7.2642 * CHOOSE(CONTROL!$C$15, $D$11, 100%, $F$11)</f>
        <v>7.2641999999999998</v>
      </c>
      <c r="C188" s="8">
        <f>7.275 * CHOOSE(CONTROL!$C$15, $D$11, 100%, $F$11)</f>
        <v>7.2750000000000004</v>
      </c>
      <c r="D188" s="8">
        <f>7.3098 * CHOOSE( CONTROL!$C$15, $D$11, 100%, $F$11)</f>
        <v>7.3098000000000001</v>
      </c>
      <c r="E188" s="12">
        <f>7.2971 * CHOOSE( CONTROL!$C$15, $D$11, 100%, $F$11)</f>
        <v>7.2971000000000004</v>
      </c>
      <c r="F188" s="4">
        <f>7.9931 * CHOOSE(CONTROL!$C$15, $D$11, 100%, $F$11)</f>
        <v>7.9931000000000001</v>
      </c>
      <c r="G188" s="8">
        <f>7.0969 * CHOOSE( CONTROL!$C$15, $D$11, 100%, $F$11)</f>
        <v>7.0968999999999998</v>
      </c>
      <c r="H188" s="4">
        <f>8.0489 * CHOOSE(CONTROL!$C$15, $D$11, 100%, $F$11)</f>
        <v>8.0488999999999997</v>
      </c>
      <c r="I188" s="8">
        <f>7.076 * CHOOSE(CONTROL!$C$15, $D$11, 100%, $F$11)</f>
        <v>7.0759999999999996</v>
      </c>
      <c r="J188" s="4">
        <f>6.96 * CHOOSE(CONTROL!$C$15, $D$11, 100%, $F$11)</f>
        <v>6.96</v>
      </c>
      <c r="K188" s="4"/>
      <c r="L188" s="9">
        <v>30.092199999999998</v>
      </c>
      <c r="M188" s="9">
        <v>11.6745</v>
      </c>
      <c r="N188" s="9">
        <v>4.7850000000000001</v>
      </c>
      <c r="O188" s="9">
        <v>0.36199999999999999</v>
      </c>
      <c r="P188" s="9">
        <v>1.1791</v>
      </c>
      <c r="Q188" s="9">
        <v>30.501000000000001</v>
      </c>
      <c r="R188" s="9"/>
      <c r="S188" s="11"/>
    </row>
    <row r="189" spans="1:19" ht="15.75">
      <c r="A189" s="13">
        <v>47239</v>
      </c>
      <c r="B189" s="8">
        <f>CHOOSE( CONTROL!$C$32, 7.4596, 7.4573) * CHOOSE(CONTROL!$C$15, $D$11, 100%, $F$11)</f>
        <v>7.4596</v>
      </c>
      <c r="C189" s="8">
        <f>CHOOSE( CONTROL!$C$32, 7.4701, 7.4678) * CHOOSE(CONTROL!$C$15, $D$11, 100%, $F$11)</f>
        <v>7.4701000000000004</v>
      </c>
      <c r="D189" s="8">
        <f>CHOOSE( CONTROL!$C$32, 7.504, 7.5017) * CHOOSE( CONTROL!$C$15, $D$11, 100%, $F$11)</f>
        <v>7.5039999999999996</v>
      </c>
      <c r="E189" s="12">
        <f>CHOOSE( CONTROL!$C$32, 7.4901, 7.4878) * CHOOSE( CONTROL!$C$15, $D$11, 100%, $F$11)</f>
        <v>7.4901</v>
      </c>
      <c r="F189" s="4">
        <f>CHOOSE( CONTROL!$C$32, 8.1885, 8.1862) * CHOOSE(CONTROL!$C$15, $D$11, 100%, $F$11)</f>
        <v>8.1884999999999994</v>
      </c>
      <c r="G189" s="8">
        <f>CHOOSE( CONTROL!$C$32, 7.2885, 7.2862) * CHOOSE( CONTROL!$C$15, $D$11, 100%, $F$11)</f>
        <v>7.2885</v>
      </c>
      <c r="H189" s="4">
        <f>CHOOSE( CONTROL!$C$32, 8.24, 8.2378) * CHOOSE(CONTROL!$C$15, $D$11, 100%, $F$11)</f>
        <v>8.24</v>
      </c>
      <c r="I189" s="8">
        <f>CHOOSE( CONTROL!$C$32, 7.2639, 7.2617) * CHOOSE(CONTROL!$C$15, $D$11, 100%, $F$11)</f>
        <v>7.2638999999999996</v>
      </c>
      <c r="J189" s="4">
        <f>CHOOSE( CONTROL!$C$32, 7.1476, 7.1454) * CHOOSE(CONTROL!$C$15, $D$11, 100%, $F$11)</f>
        <v>7.1475999999999997</v>
      </c>
      <c r="K189" s="4"/>
      <c r="L189" s="9">
        <v>30.7165</v>
      </c>
      <c r="M189" s="9">
        <v>12.063700000000001</v>
      </c>
      <c r="N189" s="9">
        <v>4.9444999999999997</v>
      </c>
      <c r="O189" s="9">
        <v>0.37409999999999999</v>
      </c>
      <c r="P189" s="9">
        <v>1.2183999999999999</v>
      </c>
      <c r="Q189" s="9">
        <v>31.517700000000001</v>
      </c>
      <c r="R189" s="9"/>
      <c r="S189" s="11"/>
    </row>
    <row r="190" spans="1:19" ht="15.75">
      <c r="A190" s="13">
        <v>47270</v>
      </c>
      <c r="B190" s="8">
        <f>CHOOSE( CONTROL!$C$32, 7.3399, 7.3376) * CHOOSE(CONTROL!$C$15, $D$11, 100%, $F$11)</f>
        <v>7.3399000000000001</v>
      </c>
      <c r="C190" s="8">
        <f>CHOOSE( CONTROL!$C$32, 7.3505, 7.3482) * CHOOSE(CONTROL!$C$15, $D$11, 100%, $F$11)</f>
        <v>7.3505000000000003</v>
      </c>
      <c r="D190" s="8">
        <f>CHOOSE( CONTROL!$C$32, 7.3845, 7.3822) * CHOOSE( CONTROL!$C$15, $D$11, 100%, $F$11)</f>
        <v>7.3845000000000001</v>
      </c>
      <c r="E190" s="12">
        <f>CHOOSE( CONTROL!$C$32, 7.3706, 7.3683) * CHOOSE( CONTROL!$C$15, $D$11, 100%, $F$11)</f>
        <v>7.3705999999999996</v>
      </c>
      <c r="F190" s="4">
        <f>CHOOSE( CONTROL!$C$32, 8.0689, 8.0666) * CHOOSE(CONTROL!$C$15, $D$11, 100%, $F$11)</f>
        <v>8.0688999999999993</v>
      </c>
      <c r="G190" s="8">
        <f>CHOOSE( CONTROL!$C$32, 7.1717, 7.1695) * CHOOSE( CONTROL!$C$15, $D$11, 100%, $F$11)</f>
        <v>7.1717000000000004</v>
      </c>
      <c r="H190" s="4">
        <f>CHOOSE( CONTROL!$C$32, 8.1231, 8.1208) * CHOOSE(CONTROL!$C$15, $D$11, 100%, $F$11)</f>
        <v>8.1231000000000009</v>
      </c>
      <c r="I190" s="8">
        <f>CHOOSE( CONTROL!$C$32, 7.1497, 7.1475) * CHOOSE(CONTROL!$C$15, $D$11, 100%, $F$11)</f>
        <v>7.1497000000000002</v>
      </c>
      <c r="J190" s="4">
        <f>CHOOSE( CONTROL!$C$32, 7.0327, 7.0305) * CHOOSE(CONTROL!$C$15, $D$11, 100%, $F$11)</f>
        <v>7.0327000000000002</v>
      </c>
      <c r="K190" s="4"/>
      <c r="L190" s="9">
        <v>29.7257</v>
      </c>
      <c r="M190" s="9">
        <v>11.6745</v>
      </c>
      <c r="N190" s="9">
        <v>4.7850000000000001</v>
      </c>
      <c r="O190" s="9">
        <v>0.36199999999999999</v>
      </c>
      <c r="P190" s="9">
        <v>1.1791</v>
      </c>
      <c r="Q190" s="9">
        <v>30.501000000000001</v>
      </c>
      <c r="R190" s="9"/>
      <c r="S190" s="11"/>
    </row>
    <row r="191" spans="1:19" ht="15.75">
      <c r="A191" s="13">
        <v>47300</v>
      </c>
      <c r="B191" s="8">
        <f>CHOOSE( CONTROL!$C$32, 7.655, 7.6527) * CHOOSE(CONTROL!$C$15, $D$11, 100%, $F$11)</f>
        <v>7.6550000000000002</v>
      </c>
      <c r="C191" s="8">
        <f>CHOOSE( CONTROL!$C$32, 7.6656, 7.6633) * CHOOSE(CONTROL!$C$15, $D$11, 100%, $F$11)</f>
        <v>7.6656000000000004</v>
      </c>
      <c r="D191" s="8">
        <f>CHOOSE( CONTROL!$C$32, 7.6998, 7.6975) * CHOOSE( CONTROL!$C$15, $D$11, 100%, $F$11)</f>
        <v>7.6997999999999998</v>
      </c>
      <c r="E191" s="12">
        <f>CHOOSE( CONTROL!$C$32, 7.6858, 7.6835) * CHOOSE( CONTROL!$C$15, $D$11, 100%, $F$11)</f>
        <v>7.6858000000000004</v>
      </c>
      <c r="F191" s="4">
        <f>CHOOSE( CONTROL!$C$32, 8.384, 8.3817) * CHOOSE(CONTROL!$C$15, $D$11, 100%, $F$11)</f>
        <v>8.3840000000000003</v>
      </c>
      <c r="G191" s="8">
        <f>CHOOSE( CONTROL!$C$32, 7.4801, 7.4779) * CHOOSE( CONTROL!$C$15, $D$11, 100%, $F$11)</f>
        <v>7.4801000000000002</v>
      </c>
      <c r="H191" s="4">
        <f>CHOOSE( CONTROL!$C$32, 8.4311, 8.4289) * CHOOSE(CONTROL!$C$15, $D$11, 100%, $F$11)</f>
        <v>8.4311000000000007</v>
      </c>
      <c r="I191" s="8">
        <f>CHOOSE( CONTROL!$C$32, 7.4533, 7.4511) * CHOOSE(CONTROL!$C$15, $D$11, 100%, $F$11)</f>
        <v>7.4532999999999996</v>
      </c>
      <c r="J191" s="4">
        <f>CHOOSE( CONTROL!$C$32, 7.3353, 7.333) * CHOOSE(CONTROL!$C$15, $D$11, 100%, $F$11)</f>
        <v>7.3353000000000002</v>
      </c>
      <c r="K191" s="4"/>
      <c r="L191" s="9">
        <v>30.7165</v>
      </c>
      <c r="M191" s="9">
        <v>12.063700000000001</v>
      </c>
      <c r="N191" s="9">
        <v>4.9444999999999997</v>
      </c>
      <c r="O191" s="9">
        <v>0.37409999999999999</v>
      </c>
      <c r="P191" s="9">
        <v>1.2183999999999999</v>
      </c>
      <c r="Q191" s="9">
        <v>31.517700000000001</v>
      </c>
      <c r="R191" s="9"/>
      <c r="S191" s="11"/>
    </row>
    <row r="192" spans="1:19" ht="15.75">
      <c r="A192" s="13">
        <v>47331</v>
      </c>
      <c r="B192" s="8">
        <f>CHOOSE( CONTROL!$C$32, 7.0654, 7.0631) * CHOOSE(CONTROL!$C$15, $D$11, 100%, $F$11)</f>
        <v>7.0654000000000003</v>
      </c>
      <c r="C192" s="8">
        <f>CHOOSE( CONTROL!$C$32, 7.076, 7.0737) * CHOOSE(CONTROL!$C$15, $D$11, 100%, $F$11)</f>
        <v>7.0759999999999996</v>
      </c>
      <c r="D192" s="8">
        <f>CHOOSE( CONTROL!$C$32, 7.1103, 7.108) * CHOOSE( CONTROL!$C$15, $D$11, 100%, $F$11)</f>
        <v>7.1102999999999996</v>
      </c>
      <c r="E192" s="12">
        <f>CHOOSE( CONTROL!$C$32, 7.0963, 7.094) * CHOOSE( CONTROL!$C$15, $D$11, 100%, $F$11)</f>
        <v>7.0963000000000003</v>
      </c>
      <c r="F192" s="4">
        <f>CHOOSE( CONTROL!$C$32, 7.7944, 7.7921) * CHOOSE(CONTROL!$C$15, $D$11, 100%, $F$11)</f>
        <v>7.7944000000000004</v>
      </c>
      <c r="G192" s="8">
        <f>CHOOSE( CONTROL!$C$32, 6.9038, 6.9015) * CHOOSE( CONTROL!$C$15, $D$11, 100%, $F$11)</f>
        <v>6.9038000000000004</v>
      </c>
      <c r="H192" s="4">
        <f>CHOOSE( CONTROL!$C$32, 7.8547, 7.8524) * CHOOSE(CONTROL!$C$15, $D$11, 100%, $F$11)</f>
        <v>7.8547000000000002</v>
      </c>
      <c r="I192" s="8">
        <f>CHOOSE( CONTROL!$C$32, 6.8873, 6.8851) * CHOOSE(CONTROL!$C$15, $D$11, 100%, $F$11)</f>
        <v>6.8872999999999998</v>
      </c>
      <c r="J192" s="4">
        <f>CHOOSE( CONTROL!$C$32, 6.7692, 6.767) * CHOOSE(CONTROL!$C$15, $D$11, 100%, $F$11)</f>
        <v>6.7691999999999997</v>
      </c>
      <c r="K192" s="4"/>
      <c r="L192" s="9">
        <v>30.7165</v>
      </c>
      <c r="M192" s="9">
        <v>12.063700000000001</v>
      </c>
      <c r="N192" s="9">
        <v>4.9444999999999997</v>
      </c>
      <c r="O192" s="9">
        <v>0.37409999999999999</v>
      </c>
      <c r="P192" s="9">
        <v>1.2183999999999999</v>
      </c>
      <c r="Q192" s="9">
        <v>31.517700000000001</v>
      </c>
      <c r="R192" s="9"/>
      <c r="S192" s="11"/>
    </row>
    <row r="193" spans="1:19" ht="15.75">
      <c r="A193" s="13">
        <v>47362</v>
      </c>
      <c r="B193" s="8">
        <f>CHOOSE( CONTROL!$C$32, 6.9178, 6.9155) * CHOOSE(CONTROL!$C$15, $D$11, 100%, $F$11)</f>
        <v>6.9177999999999997</v>
      </c>
      <c r="C193" s="8">
        <f>CHOOSE( CONTROL!$C$32, 6.9284, 6.9261) * CHOOSE(CONTROL!$C$15, $D$11, 100%, $F$11)</f>
        <v>6.9283999999999999</v>
      </c>
      <c r="D193" s="8">
        <f>CHOOSE( CONTROL!$C$32, 6.9626, 6.9603) * CHOOSE( CONTROL!$C$15, $D$11, 100%, $F$11)</f>
        <v>6.9626000000000001</v>
      </c>
      <c r="E193" s="12">
        <f>CHOOSE( CONTROL!$C$32, 6.9486, 6.9463) * CHOOSE( CONTROL!$C$15, $D$11, 100%, $F$11)</f>
        <v>6.9485999999999999</v>
      </c>
      <c r="F193" s="4">
        <f>CHOOSE( CONTROL!$C$32, 7.6467, 7.6444) * CHOOSE(CONTROL!$C$15, $D$11, 100%, $F$11)</f>
        <v>7.6467000000000001</v>
      </c>
      <c r="G193" s="8">
        <f>CHOOSE( CONTROL!$C$32, 6.7594, 6.7571) * CHOOSE( CONTROL!$C$15, $D$11, 100%, $F$11)</f>
        <v>6.7594000000000003</v>
      </c>
      <c r="H193" s="4">
        <f>CHOOSE( CONTROL!$C$32, 7.7103, 7.7081) * CHOOSE(CONTROL!$C$15, $D$11, 100%, $F$11)</f>
        <v>7.7103000000000002</v>
      </c>
      <c r="I193" s="8">
        <f>CHOOSE( CONTROL!$C$32, 6.7453, 6.7431) * CHOOSE(CONTROL!$C$15, $D$11, 100%, $F$11)</f>
        <v>6.7453000000000003</v>
      </c>
      <c r="J193" s="4">
        <f>CHOOSE( CONTROL!$C$32, 6.6275, 6.6252) * CHOOSE(CONTROL!$C$15, $D$11, 100%, $F$11)</f>
        <v>6.6275000000000004</v>
      </c>
      <c r="K193" s="4"/>
      <c r="L193" s="9">
        <v>29.7257</v>
      </c>
      <c r="M193" s="9">
        <v>11.6745</v>
      </c>
      <c r="N193" s="9">
        <v>4.7850000000000001</v>
      </c>
      <c r="O193" s="9">
        <v>0.36199999999999999</v>
      </c>
      <c r="P193" s="9">
        <v>1.1791</v>
      </c>
      <c r="Q193" s="9">
        <v>30.501000000000001</v>
      </c>
      <c r="R193" s="9"/>
      <c r="S193" s="11"/>
    </row>
    <row r="194" spans="1:19" ht="15.75">
      <c r="A194" s="13">
        <v>47392</v>
      </c>
      <c r="B194" s="8">
        <f>7.2222 * CHOOSE(CONTROL!$C$15, $D$11, 100%, $F$11)</f>
        <v>7.2222</v>
      </c>
      <c r="C194" s="8">
        <f>7.2329 * CHOOSE(CONTROL!$C$15, $D$11, 100%, $F$11)</f>
        <v>7.2328999999999999</v>
      </c>
      <c r="D194" s="8">
        <f>7.2683 * CHOOSE( CONTROL!$C$15, $D$11, 100%, $F$11)</f>
        <v>7.2683</v>
      </c>
      <c r="E194" s="12">
        <f>7.2555 * CHOOSE( CONTROL!$C$15, $D$11, 100%, $F$11)</f>
        <v>7.2554999999999996</v>
      </c>
      <c r="F194" s="4">
        <f>7.951 * CHOOSE(CONTROL!$C$15, $D$11, 100%, $F$11)</f>
        <v>7.9509999999999996</v>
      </c>
      <c r="G194" s="8">
        <f>7.0567 * CHOOSE( CONTROL!$C$15, $D$11, 100%, $F$11)</f>
        <v>7.0567000000000002</v>
      </c>
      <c r="H194" s="4">
        <f>8.0078 * CHOOSE(CONTROL!$C$15, $D$11, 100%, $F$11)</f>
        <v>8.0077999999999996</v>
      </c>
      <c r="I194" s="8">
        <f>7.0385 * CHOOSE(CONTROL!$C$15, $D$11, 100%, $F$11)</f>
        <v>7.0385</v>
      </c>
      <c r="J194" s="4">
        <f>6.9196 * CHOOSE(CONTROL!$C$15, $D$11, 100%, $F$11)</f>
        <v>6.9196</v>
      </c>
      <c r="K194" s="4"/>
      <c r="L194" s="9">
        <v>31.095300000000002</v>
      </c>
      <c r="M194" s="9">
        <v>12.063700000000001</v>
      </c>
      <c r="N194" s="9">
        <v>4.9444999999999997</v>
      </c>
      <c r="O194" s="9">
        <v>0.37409999999999999</v>
      </c>
      <c r="P194" s="9">
        <v>1.2183999999999999</v>
      </c>
      <c r="Q194" s="9">
        <v>31.517700000000001</v>
      </c>
      <c r="R194" s="9"/>
      <c r="S194" s="11"/>
    </row>
    <row r="195" spans="1:19" ht="15.75">
      <c r="A195" s="13">
        <v>47423</v>
      </c>
      <c r="B195" s="8">
        <f>7.788 * CHOOSE(CONTROL!$C$15, $D$11, 100%, $F$11)</f>
        <v>7.7880000000000003</v>
      </c>
      <c r="C195" s="8">
        <f>7.7988 * CHOOSE(CONTROL!$C$15, $D$11, 100%, $F$11)</f>
        <v>7.7988</v>
      </c>
      <c r="D195" s="8">
        <f>7.7748 * CHOOSE( CONTROL!$C$15, $D$11, 100%, $F$11)</f>
        <v>7.7747999999999999</v>
      </c>
      <c r="E195" s="12">
        <f>7.7824 * CHOOSE( CONTROL!$C$15, $D$11, 100%, $F$11)</f>
        <v>7.7824</v>
      </c>
      <c r="F195" s="4">
        <f>8.4491 * CHOOSE(CONTROL!$C$15, $D$11, 100%, $F$11)</f>
        <v>8.4490999999999996</v>
      </c>
      <c r="G195" s="8">
        <f>7.6098 * CHOOSE( CONTROL!$C$15, $D$11, 100%, $F$11)</f>
        <v>7.6097999999999999</v>
      </c>
      <c r="H195" s="4">
        <f>8.4948 * CHOOSE(CONTROL!$C$15, $D$11, 100%, $F$11)</f>
        <v>8.4947999999999997</v>
      </c>
      <c r="I195" s="8">
        <f>7.6253 * CHOOSE(CONTROL!$C$15, $D$11, 100%, $F$11)</f>
        <v>7.6253000000000002</v>
      </c>
      <c r="J195" s="4">
        <f>7.4628 * CHOOSE(CONTROL!$C$15, $D$11, 100%, $F$11)</f>
        <v>7.4627999999999997</v>
      </c>
      <c r="K195" s="4"/>
      <c r="L195" s="9">
        <v>28.360600000000002</v>
      </c>
      <c r="M195" s="9">
        <v>11.6745</v>
      </c>
      <c r="N195" s="9">
        <v>4.7850000000000001</v>
      </c>
      <c r="O195" s="9">
        <v>0.36199999999999999</v>
      </c>
      <c r="P195" s="9">
        <v>1.2509999999999999</v>
      </c>
      <c r="Q195" s="9">
        <v>30.501000000000001</v>
      </c>
      <c r="R195" s="9"/>
      <c r="S195" s="11"/>
    </row>
    <row r="196" spans="1:19" ht="15.75">
      <c r="A196" s="13">
        <v>47453</v>
      </c>
      <c r="B196" s="8">
        <f>7.7739 * CHOOSE(CONTROL!$C$15, $D$11, 100%, $F$11)</f>
        <v>7.7739000000000003</v>
      </c>
      <c r="C196" s="8">
        <f>7.7846 * CHOOSE(CONTROL!$C$15, $D$11, 100%, $F$11)</f>
        <v>7.7846000000000002</v>
      </c>
      <c r="D196" s="8">
        <f>7.7624 * CHOOSE( CONTROL!$C$15, $D$11, 100%, $F$11)</f>
        <v>7.7624000000000004</v>
      </c>
      <c r="E196" s="12">
        <f>7.7694 * CHOOSE( CONTROL!$C$15, $D$11, 100%, $F$11)</f>
        <v>7.7694000000000001</v>
      </c>
      <c r="F196" s="4">
        <f>8.435 * CHOOSE(CONTROL!$C$15, $D$11, 100%, $F$11)</f>
        <v>8.4350000000000005</v>
      </c>
      <c r="G196" s="8">
        <f>7.5972 * CHOOSE( CONTROL!$C$15, $D$11, 100%, $F$11)</f>
        <v>7.5972</v>
      </c>
      <c r="H196" s="4">
        <f>8.481 * CHOOSE(CONTROL!$C$15, $D$11, 100%, $F$11)</f>
        <v>8.4809999999999999</v>
      </c>
      <c r="I196" s="8">
        <f>7.6169 * CHOOSE(CONTROL!$C$15, $D$11, 100%, $F$11)</f>
        <v>7.6169000000000002</v>
      </c>
      <c r="J196" s="4">
        <f>7.4492 * CHOOSE(CONTROL!$C$15, $D$11, 100%, $F$11)</f>
        <v>7.4492000000000003</v>
      </c>
      <c r="K196" s="4"/>
      <c r="L196" s="9">
        <v>29.306000000000001</v>
      </c>
      <c r="M196" s="9">
        <v>12.063700000000001</v>
      </c>
      <c r="N196" s="9">
        <v>4.9444999999999997</v>
      </c>
      <c r="O196" s="9">
        <v>0.37409999999999999</v>
      </c>
      <c r="P196" s="9">
        <v>1.2927</v>
      </c>
      <c r="Q196" s="9">
        <v>31.517700000000001</v>
      </c>
      <c r="R196" s="9"/>
      <c r="S196" s="11"/>
    </row>
    <row r="197" spans="1:19" ht="15.75">
      <c r="A197" s="13">
        <v>47484</v>
      </c>
      <c r="B197" s="8">
        <f>8.0493 * CHOOSE(CONTROL!$C$15, $D$11, 100%, $F$11)</f>
        <v>8.0493000000000006</v>
      </c>
      <c r="C197" s="8">
        <f>8.0601 * CHOOSE(CONTROL!$C$15, $D$11, 100%, $F$11)</f>
        <v>8.0601000000000003</v>
      </c>
      <c r="D197" s="8">
        <f>8.0417 * CHOOSE( CONTROL!$C$15, $D$11, 100%, $F$11)</f>
        <v>8.0417000000000005</v>
      </c>
      <c r="E197" s="12">
        <f>8.0473 * CHOOSE( CONTROL!$C$15, $D$11, 100%, $F$11)</f>
        <v>8.0472999999999999</v>
      </c>
      <c r="F197" s="4">
        <f>8.7104 * CHOOSE(CONTROL!$C$15, $D$11, 100%, $F$11)</f>
        <v>8.7103999999999999</v>
      </c>
      <c r="G197" s="8">
        <f>7.8621 * CHOOSE( CONTROL!$C$15, $D$11, 100%, $F$11)</f>
        <v>7.8620999999999999</v>
      </c>
      <c r="H197" s="4">
        <f>8.7503 * CHOOSE(CONTROL!$C$15, $D$11, 100%, $F$11)</f>
        <v>8.7502999999999993</v>
      </c>
      <c r="I197" s="8">
        <f>7.8369 * CHOOSE(CONTROL!$C$15, $D$11, 100%, $F$11)</f>
        <v>7.8369</v>
      </c>
      <c r="J197" s="4">
        <f>7.7137 * CHOOSE(CONTROL!$C$15, $D$11, 100%, $F$11)</f>
        <v>7.7137000000000002</v>
      </c>
      <c r="K197" s="4"/>
      <c r="L197" s="9">
        <v>29.306000000000001</v>
      </c>
      <c r="M197" s="9">
        <v>12.063700000000001</v>
      </c>
      <c r="N197" s="9">
        <v>4.9444999999999997</v>
      </c>
      <c r="O197" s="9">
        <v>0.37409999999999999</v>
      </c>
      <c r="P197" s="9">
        <v>1.2927</v>
      </c>
      <c r="Q197" s="9">
        <v>31.333600000000001</v>
      </c>
      <c r="R197" s="9"/>
      <c r="S197" s="11"/>
    </row>
    <row r="198" spans="1:19" ht="15.75">
      <c r="A198" s="13">
        <v>47515</v>
      </c>
      <c r="B198" s="8">
        <f>7.5299 * CHOOSE(CONTROL!$C$15, $D$11, 100%, $F$11)</f>
        <v>7.5298999999999996</v>
      </c>
      <c r="C198" s="8">
        <f>7.5407 * CHOOSE(CONTROL!$C$15, $D$11, 100%, $F$11)</f>
        <v>7.5407000000000002</v>
      </c>
      <c r="D198" s="8">
        <f>7.5221 * CHOOSE( CONTROL!$C$15, $D$11, 100%, $F$11)</f>
        <v>7.5221</v>
      </c>
      <c r="E198" s="12">
        <f>7.5278 * CHOOSE( CONTROL!$C$15, $D$11, 100%, $F$11)</f>
        <v>7.5278</v>
      </c>
      <c r="F198" s="4">
        <f>8.191 * CHOOSE(CONTROL!$C$15, $D$11, 100%, $F$11)</f>
        <v>8.1910000000000007</v>
      </c>
      <c r="G198" s="8">
        <f>7.3542 * CHOOSE( CONTROL!$C$15, $D$11, 100%, $F$11)</f>
        <v>7.3541999999999996</v>
      </c>
      <c r="H198" s="4">
        <f>8.2425 * CHOOSE(CONTROL!$C$15, $D$11, 100%, $F$11)</f>
        <v>8.2424999999999997</v>
      </c>
      <c r="I198" s="8">
        <f>7.3375 * CHOOSE(CONTROL!$C$15, $D$11, 100%, $F$11)</f>
        <v>7.3375000000000004</v>
      </c>
      <c r="J198" s="4">
        <f>7.215 * CHOOSE(CONTROL!$C$15, $D$11, 100%, $F$11)</f>
        <v>7.2149999999999999</v>
      </c>
      <c r="K198" s="4"/>
      <c r="L198" s="9">
        <v>26.469899999999999</v>
      </c>
      <c r="M198" s="9">
        <v>10.8962</v>
      </c>
      <c r="N198" s="9">
        <v>4.4660000000000002</v>
      </c>
      <c r="O198" s="9">
        <v>0.33789999999999998</v>
      </c>
      <c r="P198" s="9">
        <v>1.1676</v>
      </c>
      <c r="Q198" s="9">
        <v>28.301300000000001</v>
      </c>
      <c r="R198" s="9"/>
      <c r="S198" s="11"/>
    </row>
    <row r="199" spans="1:19" ht="15.75">
      <c r="A199" s="13">
        <v>47543</v>
      </c>
      <c r="B199" s="8">
        <f>7.3699 * CHOOSE(CONTROL!$C$15, $D$11, 100%, $F$11)</f>
        <v>7.3699000000000003</v>
      </c>
      <c r="C199" s="8">
        <f>7.3807 * CHOOSE(CONTROL!$C$15, $D$11, 100%, $F$11)</f>
        <v>7.3807</v>
      </c>
      <c r="D199" s="8">
        <f>7.3617 * CHOOSE( CONTROL!$C$15, $D$11, 100%, $F$11)</f>
        <v>7.3616999999999999</v>
      </c>
      <c r="E199" s="12">
        <f>7.3675 * CHOOSE( CONTROL!$C$15, $D$11, 100%, $F$11)</f>
        <v>7.3674999999999997</v>
      </c>
      <c r="F199" s="4">
        <f>8.0311 * CHOOSE(CONTROL!$C$15, $D$11, 100%, $F$11)</f>
        <v>8.0311000000000003</v>
      </c>
      <c r="G199" s="8">
        <f>7.1974 * CHOOSE( CONTROL!$C$15, $D$11, 100%, $F$11)</f>
        <v>7.1974</v>
      </c>
      <c r="H199" s="4">
        <f>8.0861 * CHOOSE(CONTROL!$C$15, $D$11, 100%, $F$11)</f>
        <v>8.0861000000000001</v>
      </c>
      <c r="I199" s="8">
        <f>7.1823 * CHOOSE(CONTROL!$C$15, $D$11, 100%, $F$11)</f>
        <v>7.1822999999999997</v>
      </c>
      <c r="J199" s="4">
        <f>7.0614 * CHOOSE(CONTROL!$C$15, $D$11, 100%, $F$11)</f>
        <v>7.0613999999999999</v>
      </c>
      <c r="K199" s="4"/>
      <c r="L199" s="9">
        <v>29.306000000000001</v>
      </c>
      <c r="M199" s="9">
        <v>12.063700000000001</v>
      </c>
      <c r="N199" s="9">
        <v>4.9444999999999997</v>
      </c>
      <c r="O199" s="9">
        <v>0.37409999999999999</v>
      </c>
      <c r="P199" s="9">
        <v>1.2927</v>
      </c>
      <c r="Q199" s="9">
        <v>31.333600000000001</v>
      </c>
      <c r="R199" s="9"/>
      <c r="S199" s="11"/>
    </row>
    <row r="200" spans="1:19" ht="15.75">
      <c r="A200" s="13">
        <v>47574</v>
      </c>
      <c r="B200" s="8">
        <f>7.4817 * CHOOSE(CONTROL!$C$15, $D$11, 100%, $F$11)</f>
        <v>7.4817</v>
      </c>
      <c r="C200" s="8">
        <f>7.4925 * CHOOSE(CONTROL!$C$15, $D$11, 100%, $F$11)</f>
        <v>7.4924999999999997</v>
      </c>
      <c r="D200" s="8">
        <f>7.5272 * CHOOSE( CONTROL!$C$15, $D$11, 100%, $F$11)</f>
        <v>7.5271999999999997</v>
      </c>
      <c r="E200" s="12">
        <f>7.5145 * CHOOSE( CONTROL!$C$15, $D$11, 100%, $F$11)</f>
        <v>7.5145</v>
      </c>
      <c r="F200" s="4">
        <f>8.2105 * CHOOSE(CONTROL!$C$15, $D$11, 100%, $F$11)</f>
        <v>8.2104999999999997</v>
      </c>
      <c r="G200" s="8">
        <f>7.3095 * CHOOSE( CONTROL!$C$15, $D$11, 100%, $F$11)</f>
        <v>7.3094999999999999</v>
      </c>
      <c r="H200" s="4">
        <f>8.2616 * CHOOSE(CONTROL!$C$15, $D$11, 100%, $F$11)</f>
        <v>8.2615999999999996</v>
      </c>
      <c r="I200" s="8">
        <f>7.2849 * CHOOSE(CONTROL!$C$15, $D$11, 100%, $F$11)</f>
        <v>7.2849000000000004</v>
      </c>
      <c r="J200" s="4">
        <f>7.1687 * CHOOSE(CONTROL!$C$15, $D$11, 100%, $F$11)</f>
        <v>7.1687000000000003</v>
      </c>
      <c r="K200" s="4"/>
      <c r="L200" s="9">
        <v>30.092199999999998</v>
      </c>
      <c r="M200" s="9">
        <v>11.6745</v>
      </c>
      <c r="N200" s="9">
        <v>4.7850000000000001</v>
      </c>
      <c r="O200" s="9">
        <v>0.36199999999999999</v>
      </c>
      <c r="P200" s="9">
        <v>1.1791</v>
      </c>
      <c r="Q200" s="9">
        <v>30.322800000000001</v>
      </c>
      <c r="R200" s="9"/>
      <c r="S200" s="11"/>
    </row>
    <row r="201" spans="1:19" ht="15.75">
      <c r="A201" s="13">
        <v>47604</v>
      </c>
      <c r="B201" s="8">
        <f>CHOOSE( CONTROL!$C$32, 7.6828, 7.6805) * CHOOSE(CONTROL!$C$15, $D$11, 100%, $F$11)</f>
        <v>7.6828000000000003</v>
      </c>
      <c r="C201" s="8">
        <f>CHOOSE( CONTROL!$C$32, 7.6934, 7.6911) * CHOOSE(CONTROL!$C$15, $D$11, 100%, $F$11)</f>
        <v>7.6933999999999996</v>
      </c>
      <c r="D201" s="8">
        <f>CHOOSE( CONTROL!$C$32, 7.7272, 7.7249) * CHOOSE( CONTROL!$C$15, $D$11, 100%, $F$11)</f>
        <v>7.7271999999999998</v>
      </c>
      <c r="E201" s="12">
        <f>CHOOSE( CONTROL!$C$32, 7.7133, 7.711) * CHOOSE( CONTROL!$C$15, $D$11, 100%, $F$11)</f>
        <v>7.7133000000000003</v>
      </c>
      <c r="F201" s="4">
        <f>CHOOSE( CONTROL!$C$32, 8.4118, 8.4095) * CHOOSE(CONTROL!$C$15, $D$11, 100%, $F$11)</f>
        <v>8.4117999999999995</v>
      </c>
      <c r="G201" s="8">
        <f>CHOOSE( CONTROL!$C$32, 7.5068, 7.5045) * CHOOSE( CONTROL!$C$15, $D$11, 100%, $F$11)</f>
        <v>7.5068000000000001</v>
      </c>
      <c r="H201" s="4">
        <f>CHOOSE( CONTROL!$C$32, 8.4583, 8.4561) * CHOOSE(CONTROL!$C$15, $D$11, 100%, $F$11)</f>
        <v>8.4582999999999995</v>
      </c>
      <c r="I201" s="8">
        <f>CHOOSE( CONTROL!$C$32, 7.4783, 7.4761) * CHOOSE(CONTROL!$C$15, $D$11, 100%, $F$11)</f>
        <v>7.4782999999999999</v>
      </c>
      <c r="J201" s="4">
        <f>CHOOSE( CONTROL!$C$32, 7.362, 7.3598) * CHOOSE(CONTROL!$C$15, $D$11, 100%, $F$11)</f>
        <v>7.3620000000000001</v>
      </c>
      <c r="K201" s="4"/>
      <c r="L201" s="9">
        <v>30.7165</v>
      </c>
      <c r="M201" s="9">
        <v>12.063700000000001</v>
      </c>
      <c r="N201" s="9">
        <v>4.9444999999999997</v>
      </c>
      <c r="O201" s="9">
        <v>0.37409999999999999</v>
      </c>
      <c r="P201" s="9">
        <v>1.2183999999999999</v>
      </c>
      <c r="Q201" s="9">
        <v>31.333600000000001</v>
      </c>
      <c r="R201" s="9"/>
      <c r="S201" s="11"/>
    </row>
    <row r="202" spans="1:19" ht="15.75">
      <c r="A202" s="13">
        <v>47635</v>
      </c>
      <c r="B202" s="8">
        <f>CHOOSE( CONTROL!$C$32, 7.5596, 7.5573) * CHOOSE(CONTROL!$C$15, $D$11, 100%, $F$11)</f>
        <v>7.5595999999999997</v>
      </c>
      <c r="C202" s="8">
        <f>CHOOSE( CONTROL!$C$32, 7.5702, 7.5679) * CHOOSE(CONTROL!$C$15, $D$11, 100%, $F$11)</f>
        <v>7.5701999999999998</v>
      </c>
      <c r="D202" s="8">
        <f>CHOOSE( CONTROL!$C$32, 7.6042, 7.6019) * CHOOSE( CONTROL!$C$15, $D$11, 100%, $F$11)</f>
        <v>7.6041999999999996</v>
      </c>
      <c r="E202" s="12">
        <f>CHOOSE( CONTROL!$C$32, 7.5903, 7.588) * CHOOSE( CONTROL!$C$15, $D$11, 100%, $F$11)</f>
        <v>7.5903</v>
      </c>
      <c r="F202" s="4">
        <f>CHOOSE( CONTROL!$C$32, 8.2885, 8.2862) * CHOOSE(CONTROL!$C$15, $D$11, 100%, $F$11)</f>
        <v>8.2885000000000009</v>
      </c>
      <c r="G202" s="8">
        <f>CHOOSE( CONTROL!$C$32, 7.3865, 7.3842) * CHOOSE( CONTROL!$C$15, $D$11, 100%, $F$11)</f>
        <v>7.3864999999999998</v>
      </c>
      <c r="H202" s="4">
        <f>CHOOSE( CONTROL!$C$32, 8.3378, 8.3356) * CHOOSE(CONTROL!$C$15, $D$11, 100%, $F$11)</f>
        <v>8.3377999999999997</v>
      </c>
      <c r="I202" s="8">
        <f>CHOOSE( CONTROL!$C$32, 7.3607, 7.3585) * CHOOSE(CONTROL!$C$15, $D$11, 100%, $F$11)</f>
        <v>7.3606999999999996</v>
      </c>
      <c r="J202" s="4">
        <f>CHOOSE( CONTROL!$C$32, 7.2436, 7.2414) * CHOOSE(CONTROL!$C$15, $D$11, 100%, $F$11)</f>
        <v>7.2435999999999998</v>
      </c>
      <c r="K202" s="4"/>
      <c r="L202" s="9">
        <v>29.7257</v>
      </c>
      <c r="M202" s="9">
        <v>11.6745</v>
      </c>
      <c r="N202" s="9">
        <v>4.7850000000000001</v>
      </c>
      <c r="O202" s="9">
        <v>0.36199999999999999</v>
      </c>
      <c r="P202" s="9">
        <v>1.1791</v>
      </c>
      <c r="Q202" s="9">
        <v>30.322800000000001</v>
      </c>
      <c r="R202" s="9"/>
      <c r="S202" s="11"/>
    </row>
    <row r="203" spans="1:19" ht="15.75">
      <c r="A203" s="13">
        <v>47665</v>
      </c>
      <c r="B203" s="8">
        <f>CHOOSE( CONTROL!$C$32, 7.8842, 7.8819) * CHOOSE(CONTROL!$C$15, $D$11, 100%, $F$11)</f>
        <v>7.8841999999999999</v>
      </c>
      <c r="C203" s="8">
        <f>CHOOSE( CONTROL!$C$32, 7.8947, 7.8924) * CHOOSE(CONTROL!$C$15, $D$11, 100%, $F$11)</f>
        <v>7.8947000000000003</v>
      </c>
      <c r="D203" s="8">
        <f>CHOOSE( CONTROL!$C$32, 7.9289, 7.9266) * CHOOSE( CONTROL!$C$15, $D$11, 100%, $F$11)</f>
        <v>7.9288999999999996</v>
      </c>
      <c r="E203" s="12">
        <f>CHOOSE( CONTROL!$C$32, 7.9149, 7.9126) * CHOOSE( CONTROL!$C$15, $D$11, 100%, $F$11)</f>
        <v>7.9149000000000003</v>
      </c>
      <c r="F203" s="4">
        <f>CHOOSE( CONTROL!$C$32, 8.6131, 8.6108) * CHOOSE(CONTROL!$C$15, $D$11, 100%, $F$11)</f>
        <v>8.6130999999999993</v>
      </c>
      <c r="G203" s="8">
        <f>CHOOSE( CONTROL!$C$32, 7.7041, 7.7019) * CHOOSE( CONTROL!$C$15, $D$11, 100%, $F$11)</f>
        <v>7.7041000000000004</v>
      </c>
      <c r="H203" s="4">
        <f>CHOOSE( CONTROL!$C$32, 8.6552, 8.6529) * CHOOSE(CONTROL!$C$15, $D$11, 100%, $F$11)</f>
        <v>8.6552000000000007</v>
      </c>
      <c r="I203" s="8">
        <f>CHOOSE( CONTROL!$C$32, 7.6734, 7.6712) * CHOOSE(CONTROL!$C$15, $D$11, 100%, $F$11)</f>
        <v>7.6734</v>
      </c>
      <c r="J203" s="4">
        <f>CHOOSE( CONTROL!$C$32, 7.5552, 7.553) * CHOOSE(CONTROL!$C$15, $D$11, 100%, $F$11)</f>
        <v>7.5552000000000001</v>
      </c>
      <c r="K203" s="4"/>
      <c r="L203" s="9">
        <v>30.7165</v>
      </c>
      <c r="M203" s="9">
        <v>12.063700000000001</v>
      </c>
      <c r="N203" s="9">
        <v>4.9444999999999997</v>
      </c>
      <c r="O203" s="9">
        <v>0.37409999999999999</v>
      </c>
      <c r="P203" s="9">
        <v>1.2183999999999999</v>
      </c>
      <c r="Q203" s="9">
        <v>31.333600000000001</v>
      </c>
      <c r="R203" s="9"/>
      <c r="S203" s="11"/>
    </row>
    <row r="204" spans="1:19" ht="15.75">
      <c r="A204" s="13">
        <v>47696</v>
      </c>
      <c r="B204" s="8">
        <f>CHOOSE( CONTROL!$C$32, 7.2769, 7.2746) * CHOOSE(CONTROL!$C$15, $D$11, 100%, $F$11)</f>
        <v>7.2769000000000004</v>
      </c>
      <c r="C204" s="8">
        <f>CHOOSE( CONTROL!$C$32, 7.2875, 7.2852) * CHOOSE(CONTROL!$C$15, $D$11, 100%, $F$11)</f>
        <v>7.2874999999999996</v>
      </c>
      <c r="D204" s="8">
        <f>CHOOSE( CONTROL!$C$32, 7.3217, 7.3194) * CHOOSE( CONTROL!$C$15, $D$11, 100%, $F$11)</f>
        <v>7.3216999999999999</v>
      </c>
      <c r="E204" s="12">
        <f>CHOOSE( CONTROL!$C$32, 7.3077, 7.3054) * CHOOSE( CONTROL!$C$15, $D$11, 100%, $F$11)</f>
        <v>7.3076999999999996</v>
      </c>
      <c r="F204" s="4">
        <f>CHOOSE( CONTROL!$C$32, 8.0058, 8.0035) * CHOOSE(CONTROL!$C$15, $D$11, 100%, $F$11)</f>
        <v>8.0058000000000007</v>
      </c>
      <c r="G204" s="8">
        <f>CHOOSE( CONTROL!$C$32, 7.1105, 7.1082) * CHOOSE( CONTROL!$C$15, $D$11, 100%, $F$11)</f>
        <v>7.1105</v>
      </c>
      <c r="H204" s="4">
        <f>CHOOSE( CONTROL!$C$32, 8.0614, 8.0592) * CHOOSE(CONTROL!$C$15, $D$11, 100%, $F$11)</f>
        <v>8.0614000000000008</v>
      </c>
      <c r="I204" s="8">
        <f>CHOOSE( CONTROL!$C$32, 7.0904, 7.0882) * CHOOSE(CONTROL!$C$15, $D$11, 100%, $F$11)</f>
        <v>7.0903999999999998</v>
      </c>
      <c r="J204" s="4">
        <f>CHOOSE( CONTROL!$C$32, 6.9722, 6.97) * CHOOSE(CONTROL!$C$15, $D$11, 100%, $F$11)</f>
        <v>6.9722</v>
      </c>
      <c r="K204" s="4"/>
      <c r="L204" s="9">
        <v>30.7165</v>
      </c>
      <c r="M204" s="9">
        <v>12.063700000000001</v>
      </c>
      <c r="N204" s="9">
        <v>4.9444999999999997</v>
      </c>
      <c r="O204" s="9">
        <v>0.37409999999999999</v>
      </c>
      <c r="P204" s="9">
        <v>1.2183999999999999</v>
      </c>
      <c r="Q204" s="9">
        <v>31.333600000000001</v>
      </c>
      <c r="R204" s="9"/>
      <c r="S204" s="11"/>
    </row>
    <row r="205" spans="1:19" ht="15.75">
      <c r="A205" s="13">
        <v>47727</v>
      </c>
      <c r="B205" s="8">
        <f>CHOOSE( CONTROL!$C$32, 7.1248, 7.1225) * CHOOSE(CONTROL!$C$15, $D$11, 100%, $F$11)</f>
        <v>7.1247999999999996</v>
      </c>
      <c r="C205" s="8">
        <f>CHOOSE( CONTROL!$C$32, 7.1354, 7.1331) * CHOOSE(CONTROL!$C$15, $D$11, 100%, $F$11)</f>
        <v>7.1353999999999997</v>
      </c>
      <c r="D205" s="8">
        <f>CHOOSE( CONTROL!$C$32, 7.1696, 7.1673) * CHOOSE( CONTROL!$C$15, $D$11, 100%, $F$11)</f>
        <v>7.1696</v>
      </c>
      <c r="E205" s="12">
        <f>CHOOSE( CONTROL!$C$32, 7.1556, 7.1533) * CHOOSE( CONTROL!$C$15, $D$11, 100%, $F$11)</f>
        <v>7.1555999999999997</v>
      </c>
      <c r="F205" s="4">
        <f>CHOOSE( CONTROL!$C$32, 7.8538, 7.8515) * CHOOSE(CONTROL!$C$15, $D$11, 100%, $F$11)</f>
        <v>7.8537999999999997</v>
      </c>
      <c r="G205" s="8">
        <f>CHOOSE( CONTROL!$C$32, 6.9618, 6.9595) * CHOOSE( CONTROL!$C$15, $D$11, 100%, $F$11)</f>
        <v>6.9618000000000002</v>
      </c>
      <c r="H205" s="4">
        <f>CHOOSE( CONTROL!$C$32, 7.9127, 7.9105) * CHOOSE(CONTROL!$C$15, $D$11, 100%, $F$11)</f>
        <v>7.9127000000000001</v>
      </c>
      <c r="I205" s="8">
        <f>CHOOSE( CONTROL!$C$32, 6.9442, 6.942) * CHOOSE(CONTROL!$C$15, $D$11, 100%, $F$11)</f>
        <v>6.9442000000000004</v>
      </c>
      <c r="J205" s="4">
        <f>CHOOSE( CONTROL!$C$32, 6.8262, 6.824) * CHOOSE(CONTROL!$C$15, $D$11, 100%, $F$11)</f>
        <v>6.8262</v>
      </c>
      <c r="K205" s="4"/>
      <c r="L205" s="9">
        <v>29.7257</v>
      </c>
      <c r="M205" s="9">
        <v>11.6745</v>
      </c>
      <c r="N205" s="9">
        <v>4.7850000000000001</v>
      </c>
      <c r="O205" s="9">
        <v>0.36199999999999999</v>
      </c>
      <c r="P205" s="9">
        <v>1.1791</v>
      </c>
      <c r="Q205" s="9">
        <v>30.322800000000001</v>
      </c>
      <c r="R205" s="9"/>
      <c r="S205" s="11"/>
    </row>
    <row r="206" spans="1:19" ht="15.75">
      <c r="A206" s="13">
        <v>47757</v>
      </c>
      <c r="B206" s="8">
        <f>7.4384 * CHOOSE(CONTROL!$C$15, $D$11, 100%, $F$11)</f>
        <v>7.4383999999999997</v>
      </c>
      <c r="C206" s="8">
        <f>7.4491 * CHOOSE(CONTROL!$C$15, $D$11, 100%, $F$11)</f>
        <v>7.4490999999999996</v>
      </c>
      <c r="D206" s="8">
        <f>7.4845 * CHOOSE( CONTROL!$C$15, $D$11, 100%, $F$11)</f>
        <v>7.4844999999999997</v>
      </c>
      <c r="E206" s="12">
        <f>7.4717 * CHOOSE( CONTROL!$C$15, $D$11, 100%, $F$11)</f>
        <v>7.4717000000000002</v>
      </c>
      <c r="F206" s="4">
        <f>8.1672 * CHOOSE(CONTROL!$C$15, $D$11, 100%, $F$11)</f>
        <v>8.1671999999999993</v>
      </c>
      <c r="G206" s="8">
        <f>7.268 * CHOOSE( CONTROL!$C$15, $D$11, 100%, $F$11)</f>
        <v>7.2679999999999998</v>
      </c>
      <c r="H206" s="4">
        <f>8.2192 * CHOOSE(CONTROL!$C$15, $D$11, 100%, $F$11)</f>
        <v>8.2192000000000007</v>
      </c>
      <c r="I206" s="8">
        <f>7.2462 * CHOOSE(CONTROL!$C$15, $D$11, 100%, $F$11)</f>
        <v>7.2462</v>
      </c>
      <c r="J206" s="4">
        <f>7.1271 * CHOOSE(CONTROL!$C$15, $D$11, 100%, $F$11)</f>
        <v>7.1271000000000004</v>
      </c>
      <c r="K206" s="4"/>
      <c r="L206" s="9">
        <v>31.095300000000002</v>
      </c>
      <c r="M206" s="9">
        <v>12.063700000000001</v>
      </c>
      <c r="N206" s="9">
        <v>4.9444999999999997</v>
      </c>
      <c r="O206" s="9">
        <v>0.37409999999999999</v>
      </c>
      <c r="P206" s="9">
        <v>1.2183999999999999</v>
      </c>
      <c r="Q206" s="9">
        <v>31.333600000000001</v>
      </c>
      <c r="R206" s="9"/>
      <c r="S206" s="11"/>
    </row>
    <row r="207" spans="1:19" ht="15.75">
      <c r="A207" s="13">
        <v>47788</v>
      </c>
      <c r="B207" s="8">
        <f>8.0212 * CHOOSE(CONTROL!$C$15, $D$11, 100%, $F$11)</f>
        <v>8.0212000000000003</v>
      </c>
      <c r="C207" s="8">
        <f>8.032 * CHOOSE(CONTROL!$C$15, $D$11, 100%, $F$11)</f>
        <v>8.032</v>
      </c>
      <c r="D207" s="8">
        <f>8.008 * CHOOSE( CONTROL!$C$15, $D$11, 100%, $F$11)</f>
        <v>8.0079999999999991</v>
      </c>
      <c r="E207" s="12">
        <f>8.0156 * CHOOSE( CONTROL!$C$15, $D$11, 100%, $F$11)</f>
        <v>8.0155999999999992</v>
      </c>
      <c r="F207" s="4">
        <f>8.6823 * CHOOSE(CONTROL!$C$15, $D$11, 100%, $F$11)</f>
        <v>8.6822999999999997</v>
      </c>
      <c r="G207" s="8">
        <f>7.8378 * CHOOSE( CONTROL!$C$15, $D$11, 100%, $F$11)</f>
        <v>7.8377999999999997</v>
      </c>
      <c r="H207" s="4">
        <f>8.7228 * CHOOSE(CONTROL!$C$15, $D$11, 100%, $F$11)</f>
        <v>8.7227999999999994</v>
      </c>
      <c r="I207" s="8">
        <f>7.8493 * CHOOSE(CONTROL!$C$15, $D$11, 100%, $F$11)</f>
        <v>7.8493000000000004</v>
      </c>
      <c r="J207" s="4">
        <f>7.6867 * CHOOSE(CONTROL!$C$15, $D$11, 100%, $F$11)</f>
        <v>7.6867000000000001</v>
      </c>
      <c r="K207" s="4"/>
      <c r="L207" s="9">
        <v>28.360600000000002</v>
      </c>
      <c r="M207" s="9">
        <v>11.6745</v>
      </c>
      <c r="N207" s="9">
        <v>4.7850000000000001</v>
      </c>
      <c r="O207" s="9">
        <v>0.36199999999999999</v>
      </c>
      <c r="P207" s="9">
        <v>1.2509999999999999</v>
      </c>
      <c r="Q207" s="9">
        <v>30.322800000000001</v>
      </c>
      <c r="R207" s="9"/>
      <c r="S207" s="11"/>
    </row>
    <row r="208" spans="1:19" ht="15.75">
      <c r="A208" s="13">
        <v>47818</v>
      </c>
      <c r="B208" s="8">
        <f>8.0066 * CHOOSE(CONTROL!$C$15, $D$11, 100%, $F$11)</f>
        <v>8.0066000000000006</v>
      </c>
      <c r="C208" s="8">
        <f>8.0174 * CHOOSE(CONTROL!$C$15, $D$11, 100%, $F$11)</f>
        <v>8.0174000000000003</v>
      </c>
      <c r="D208" s="8">
        <f>7.9951 * CHOOSE( CONTROL!$C$15, $D$11, 100%, $F$11)</f>
        <v>7.9950999999999999</v>
      </c>
      <c r="E208" s="12">
        <f>8.0021 * CHOOSE( CONTROL!$C$15, $D$11, 100%, $F$11)</f>
        <v>8.0021000000000004</v>
      </c>
      <c r="F208" s="4">
        <f>8.6677 * CHOOSE(CONTROL!$C$15, $D$11, 100%, $F$11)</f>
        <v>8.6677</v>
      </c>
      <c r="G208" s="8">
        <f>7.8248 * CHOOSE( CONTROL!$C$15, $D$11, 100%, $F$11)</f>
        <v>7.8247999999999998</v>
      </c>
      <c r="H208" s="4">
        <f>8.7086 * CHOOSE(CONTROL!$C$15, $D$11, 100%, $F$11)</f>
        <v>8.7086000000000006</v>
      </c>
      <c r="I208" s="8">
        <f>7.8405 * CHOOSE(CONTROL!$C$15, $D$11, 100%, $F$11)</f>
        <v>7.8404999999999996</v>
      </c>
      <c r="J208" s="4">
        <f>7.6727 * CHOOSE(CONTROL!$C$15, $D$11, 100%, $F$11)</f>
        <v>7.6726999999999999</v>
      </c>
      <c r="K208" s="4"/>
      <c r="L208" s="9">
        <v>29.306000000000001</v>
      </c>
      <c r="M208" s="9">
        <v>12.063700000000001</v>
      </c>
      <c r="N208" s="9">
        <v>4.9444999999999997</v>
      </c>
      <c r="O208" s="9">
        <v>0.37409999999999999</v>
      </c>
      <c r="P208" s="9">
        <v>1.2927</v>
      </c>
      <c r="Q208" s="9">
        <v>31.333600000000001</v>
      </c>
      <c r="R208" s="9"/>
      <c r="S208" s="11"/>
    </row>
    <row r="209" spans="1:19" ht="15.75">
      <c r="A209" s="13">
        <v>47849</v>
      </c>
      <c r="B209" s="8">
        <f>8.2896 * CHOOSE(CONTROL!$C$15, $D$11, 100%, $F$11)</f>
        <v>8.2896000000000001</v>
      </c>
      <c r="C209" s="8">
        <f>8.3003 * CHOOSE(CONTROL!$C$15, $D$11, 100%, $F$11)</f>
        <v>8.3003</v>
      </c>
      <c r="D209" s="8">
        <f>8.2819 * CHOOSE( CONTROL!$C$15, $D$11, 100%, $F$11)</f>
        <v>8.2819000000000003</v>
      </c>
      <c r="E209" s="12">
        <f>8.2875 * CHOOSE( CONTROL!$C$15, $D$11, 100%, $F$11)</f>
        <v>8.2874999999999996</v>
      </c>
      <c r="F209" s="4">
        <f>8.9507 * CHOOSE(CONTROL!$C$15, $D$11, 100%, $F$11)</f>
        <v>8.9506999999999994</v>
      </c>
      <c r="G209" s="8">
        <f>8.097 * CHOOSE( CONTROL!$C$15, $D$11, 100%, $F$11)</f>
        <v>8.0969999999999995</v>
      </c>
      <c r="H209" s="4">
        <f>8.9852 * CHOOSE(CONTROL!$C$15, $D$11, 100%, $F$11)</f>
        <v>8.9852000000000007</v>
      </c>
      <c r="I209" s="8">
        <f>8.0677 * CHOOSE(CONTROL!$C$15, $D$11, 100%, $F$11)</f>
        <v>8.0677000000000003</v>
      </c>
      <c r="J209" s="4">
        <f>7.9444 * CHOOSE(CONTROL!$C$15, $D$11, 100%, $F$11)</f>
        <v>7.9443999999999999</v>
      </c>
      <c r="K209" s="4"/>
      <c r="L209" s="9">
        <v>29.306000000000001</v>
      </c>
      <c r="M209" s="9">
        <v>12.063700000000001</v>
      </c>
      <c r="N209" s="9">
        <v>4.9444999999999997</v>
      </c>
      <c r="O209" s="9">
        <v>0.37409999999999999</v>
      </c>
      <c r="P209" s="9">
        <v>1.2927</v>
      </c>
      <c r="Q209" s="9">
        <v>31.026700000000002</v>
      </c>
      <c r="R209" s="9"/>
      <c r="S209" s="11"/>
    </row>
    <row r="210" spans="1:19" ht="15.75">
      <c r="A210" s="13">
        <v>47880</v>
      </c>
      <c r="B210" s="8">
        <f>7.7546 * CHOOSE(CONTROL!$C$15, $D$11, 100%, $F$11)</f>
        <v>7.7545999999999999</v>
      </c>
      <c r="C210" s="8">
        <f>7.7654 * CHOOSE(CONTROL!$C$15, $D$11, 100%, $F$11)</f>
        <v>7.7653999999999996</v>
      </c>
      <c r="D210" s="8">
        <f>7.7468 * CHOOSE( CONTROL!$C$15, $D$11, 100%, $F$11)</f>
        <v>7.7468000000000004</v>
      </c>
      <c r="E210" s="12">
        <f>7.7525 * CHOOSE( CONTROL!$C$15, $D$11, 100%, $F$11)</f>
        <v>7.7525000000000004</v>
      </c>
      <c r="F210" s="4">
        <f>8.4157 * CHOOSE(CONTROL!$C$15, $D$11, 100%, $F$11)</f>
        <v>8.4156999999999993</v>
      </c>
      <c r="G210" s="8">
        <f>7.5739 * CHOOSE( CONTROL!$C$15, $D$11, 100%, $F$11)</f>
        <v>7.5739000000000001</v>
      </c>
      <c r="H210" s="4">
        <f>8.4622 * CHOOSE(CONTROL!$C$15, $D$11, 100%, $F$11)</f>
        <v>8.4621999999999993</v>
      </c>
      <c r="I210" s="8">
        <f>7.5533 * CHOOSE(CONTROL!$C$15, $D$11, 100%, $F$11)</f>
        <v>7.5533000000000001</v>
      </c>
      <c r="J210" s="4">
        <f>7.4308 * CHOOSE(CONTROL!$C$15, $D$11, 100%, $F$11)</f>
        <v>7.4307999999999996</v>
      </c>
      <c r="K210" s="4"/>
      <c r="L210" s="9">
        <v>26.469899999999999</v>
      </c>
      <c r="M210" s="9">
        <v>10.8962</v>
      </c>
      <c r="N210" s="9">
        <v>4.4660000000000002</v>
      </c>
      <c r="O210" s="9">
        <v>0.33789999999999998</v>
      </c>
      <c r="P210" s="9">
        <v>1.1676</v>
      </c>
      <c r="Q210" s="9">
        <v>28.024100000000001</v>
      </c>
      <c r="R210" s="9"/>
      <c r="S210" s="11"/>
    </row>
    <row r="211" spans="1:19" ht="15.75">
      <c r="A211" s="13">
        <v>47908</v>
      </c>
      <c r="B211" s="8">
        <f>7.5899 * CHOOSE(CONTROL!$C$15, $D$11, 100%, $F$11)</f>
        <v>7.5899000000000001</v>
      </c>
      <c r="C211" s="8">
        <f>7.6006 * CHOOSE(CONTROL!$C$15, $D$11, 100%, $F$11)</f>
        <v>7.6006</v>
      </c>
      <c r="D211" s="8">
        <f>7.5816 * CHOOSE( CONTROL!$C$15, $D$11, 100%, $F$11)</f>
        <v>7.5815999999999999</v>
      </c>
      <c r="E211" s="12">
        <f>7.5874 * CHOOSE( CONTROL!$C$15, $D$11, 100%, $F$11)</f>
        <v>7.5873999999999997</v>
      </c>
      <c r="F211" s="4">
        <f>8.251 * CHOOSE(CONTROL!$C$15, $D$11, 100%, $F$11)</f>
        <v>8.2509999999999994</v>
      </c>
      <c r="G211" s="8">
        <f>7.4125 * CHOOSE( CONTROL!$C$15, $D$11, 100%, $F$11)</f>
        <v>7.4124999999999996</v>
      </c>
      <c r="H211" s="4">
        <f>8.3011 * CHOOSE(CONTROL!$C$15, $D$11, 100%, $F$11)</f>
        <v>8.3010999999999999</v>
      </c>
      <c r="I211" s="8">
        <f>7.3935 * CHOOSE(CONTROL!$C$15, $D$11, 100%, $F$11)</f>
        <v>7.3935000000000004</v>
      </c>
      <c r="J211" s="4">
        <f>7.2726 * CHOOSE(CONTROL!$C$15, $D$11, 100%, $F$11)</f>
        <v>7.2725999999999997</v>
      </c>
      <c r="K211" s="4"/>
      <c r="L211" s="9">
        <v>29.306000000000001</v>
      </c>
      <c r="M211" s="9">
        <v>12.063700000000001</v>
      </c>
      <c r="N211" s="9">
        <v>4.9444999999999997</v>
      </c>
      <c r="O211" s="9">
        <v>0.37409999999999999</v>
      </c>
      <c r="P211" s="9">
        <v>1.2927</v>
      </c>
      <c r="Q211" s="9">
        <v>31.026700000000002</v>
      </c>
      <c r="R211" s="9"/>
      <c r="S211" s="11"/>
    </row>
    <row r="212" spans="1:19" ht="15.75">
      <c r="A212" s="13">
        <v>47939</v>
      </c>
      <c r="B212" s="8">
        <f>7.705 * CHOOSE(CONTROL!$C$15, $D$11, 100%, $F$11)</f>
        <v>7.7050000000000001</v>
      </c>
      <c r="C212" s="8">
        <f>7.7158 * CHOOSE(CONTROL!$C$15, $D$11, 100%, $F$11)</f>
        <v>7.7157999999999998</v>
      </c>
      <c r="D212" s="8">
        <f>7.7505 * CHOOSE( CONTROL!$C$15, $D$11, 100%, $F$11)</f>
        <v>7.7504999999999997</v>
      </c>
      <c r="E212" s="12">
        <f>7.7378 * CHOOSE( CONTROL!$C$15, $D$11, 100%, $F$11)</f>
        <v>7.7378</v>
      </c>
      <c r="F212" s="4">
        <f>8.4338 * CHOOSE(CONTROL!$C$15, $D$11, 100%, $F$11)</f>
        <v>8.4337999999999997</v>
      </c>
      <c r="G212" s="8">
        <f>7.5278 * CHOOSE( CONTROL!$C$15, $D$11, 100%, $F$11)</f>
        <v>7.5278</v>
      </c>
      <c r="H212" s="4">
        <f>8.4799 * CHOOSE(CONTROL!$C$15, $D$11, 100%, $F$11)</f>
        <v>8.4799000000000007</v>
      </c>
      <c r="I212" s="8">
        <f>7.4994 * CHOOSE(CONTROL!$C$15, $D$11, 100%, $F$11)</f>
        <v>7.4993999999999996</v>
      </c>
      <c r="J212" s="4">
        <f>7.3831 * CHOOSE(CONTROL!$C$15, $D$11, 100%, $F$11)</f>
        <v>7.3830999999999998</v>
      </c>
      <c r="K212" s="4"/>
      <c r="L212" s="9">
        <v>30.092199999999998</v>
      </c>
      <c r="M212" s="9">
        <v>11.6745</v>
      </c>
      <c r="N212" s="9">
        <v>4.7850000000000001</v>
      </c>
      <c r="O212" s="9">
        <v>0.36199999999999999</v>
      </c>
      <c r="P212" s="9">
        <v>1.1791</v>
      </c>
      <c r="Q212" s="9">
        <v>30.0258</v>
      </c>
      <c r="R212" s="9"/>
      <c r="S212" s="11"/>
    </row>
    <row r="213" spans="1:19" ht="15.75">
      <c r="A213" s="13">
        <v>47969</v>
      </c>
      <c r="B213" s="8">
        <f>CHOOSE( CONTROL!$C$32, 7.9121, 7.9098) * CHOOSE(CONTROL!$C$15, $D$11, 100%, $F$11)</f>
        <v>7.9120999999999997</v>
      </c>
      <c r="C213" s="8">
        <f>CHOOSE( CONTROL!$C$32, 7.9226, 7.9203) * CHOOSE(CONTROL!$C$15, $D$11, 100%, $F$11)</f>
        <v>7.9226000000000001</v>
      </c>
      <c r="D213" s="8">
        <f>CHOOSE( CONTROL!$C$32, 7.9565, 7.9542) * CHOOSE( CONTROL!$C$15, $D$11, 100%, $F$11)</f>
        <v>7.9565000000000001</v>
      </c>
      <c r="E213" s="12">
        <f>CHOOSE( CONTROL!$C$32, 7.9426, 7.9403) * CHOOSE( CONTROL!$C$15, $D$11, 100%, $F$11)</f>
        <v>7.9425999999999997</v>
      </c>
      <c r="F213" s="4">
        <f>CHOOSE( CONTROL!$C$32, 8.641, 8.6387) * CHOOSE(CONTROL!$C$15, $D$11, 100%, $F$11)</f>
        <v>8.641</v>
      </c>
      <c r="G213" s="8">
        <f>CHOOSE( CONTROL!$C$32, 7.7309, 7.7286) * CHOOSE( CONTROL!$C$15, $D$11, 100%, $F$11)</f>
        <v>7.7309000000000001</v>
      </c>
      <c r="H213" s="4">
        <f>CHOOSE( CONTROL!$C$32, 8.6824, 8.6802) * CHOOSE(CONTROL!$C$15, $D$11, 100%, $F$11)</f>
        <v>8.6823999999999995</v>
      </c>
      <c r="I213" s="8">
        <f>CHOOSE( CONTROL!$C$32, 7.6985, 7.6963) * CHOOSE(CONTROL!$C$15, $D$11, 100%, $F$11)</f>
        <v>7.6985000000000001</v>
      </c>
      <c r="J213" s="4">
        <f>CHOOSE( CONTROL!$C$32, 7.5821, 7.5798) * CHOOSE(CONTROL!$C$15, $D$11, 100%, $F$11)</f>
        <v>7.5820999999999996</v>
      </c>
      <c r="K213" s="4"/>
      <c r="L213" s="9">
        <v>30.7165</v>
      </c>
      <c r="M213" s="9">
        <v>12.063700000000001</v>
      </c>
      <c r="N213" s="9">
        <v>4.9444999999999997</v>
      </c>
      <c r="O213" s="9">
        <v>0.37409999999999999</v>
      </c>
      <c r="P213" s="9">
        <v>1.2183999999999999</v>
      </c>
      <c r="Q213" s="9">
        <v>31.026700000000002</v>
      </c>
      <c r="R213" s="9"/>
      <c r="S213" s="11"/>
    </row>
    <row r="214" spans="1:19" ht="15.75">
      <c r="A214" s="13">
        <v>48000</v>
      </c>
      <c r="B214" s="8">
        <f>CHOOSE( CONTROL!$C$32, 7.7851, 7.7828) * CHOOSE(CONTROL!$C$15, $D$11, 100%, $F$11)</f>
        <v>7.7850999999999999</v>
      </c>
      <c r="C214" s="8">
        <f>CHOOSE( CONTROL!$C$32, 7.7957, 7.7934) * CHOOSE(CONTROL!$C$15, $D$11, 100%, $F$11)</f>
        <v>7.7957000000000001</v>
      </c>
      <c r="D214" s="8">
        <f>CHOOSE( CONTROL!$C$32, 7.8297, 7.8274) * CHOOSE( CONTROL!$C$15, $D$11, 100%, $F$11)</f>
        <v>7.8296999999999999</v>
      </c>
      <c r="E214" s="12">
        <f>CHOOSE( CONTROL!$C$32, 7.8158, 7.8135) * CHOOSE( CONTROL!$C$15, $D$11, 100%, $F$11)</f>
        <v>7.8158000000000003</v>
      </c>
      <c r="F214" s="4">
        <f>CHOOSE( CONTROL!$C$32, 8.5141, 8.5118) * CHOOSE(CONTROL!$C$15, $D$11, 100%, $F$11)</f>
        <v>8.5140999999999991</v>
      </c>
      <c r="G214" s="8">
        <f>CHOOSE( CONTROL!$C$32, 7.607, 7.6048) * CHOOSE( CONTROL!$C$15, $D$11, 100%, $F$11)</f>
        <v>7.6070000000000002</v>
      </c>
      <c r="H214" s="4">
        <f>CHOOSE( CONTROL!$C$32, 8.5583, 8.5561) * CHOOSE(CONTROL!$C$15, $D$11, 100%, $F$11)</f>
        <v>8.5582999999999991</v>
      </c>
      <c r="I214" s="8">
        <f>CHOOSE( CONTROL!$C$32, 7.5774, 7.5751) * CHOOSE(CONTROL!$C$15, $D$11, 100%, $F$11)</f>
        <v>7.5773999999999999</v>
      </c>
      <c r="J214" s="4">
        <f>CHOOSE( CONTROL!$C$32, 7.4602, 7.458) * CHOOSE(CONTROL!$C$15, $D$11, 100%, $F$11)</f>
        <v>7.4602000000000004</v>
      </c>
      <c r="K214" s="4"/>
      <c r="L214" s="9">
        <v>29.7257</v>
      </c>
      <c r="M214" s="9">
        <v>11.6745</v>
      </c>
      <c r="N214" s="9">
        <v>4.7850000000000001</v>
      </c>
      <c r="O214" s="9">
        <v>0.36199999999999999</v>
      </c>
      <c r="P214" s="9">
        <v>1.1791</v>
      </c>
      <c r="Q214" s="9">
        <v>30.0258</v>
      </c>
      <c r="R214" s="9"/>
      <c r="S214" s="11"/>
    </row>
    <row r="215" spans="1:19" ht="15.75">
      <c r="A215" s="13">
        <v>48030</v>
      </c>
      <c r="B215" s="8">
        <f>CHOOSE( CONTROL!$C$32, 8.1194, 8.1171) * CHOOSE(CONTROL!$C$15, $D$11, 100%, $F$11)</f>
        <v>8.1194000000000006</v>
      </c>
      <c r="C215" s="8">
        <f>CHOOSE( CONTROL!$C$32, 8.13, 8.1277) * CHOOSE(CONTROL!$C$15, $D$11, 100%, $F$11)</f>
        <v>8.1300000000000008</v>
      </c>
      <c r="D215" s="8">
        <f>CHOOSE( CONTROL!$C$32, 8.1642, 8.1619) * CHOOSE( CONTROL!$C$15, $D$11, 100%, $F$11)</f>
        <v>8.1641999999999992</v>
      </c>
      <c r="E215" s="12">
        <f>CHOOSE( CONTROL!$C$32, 8.1502, 8.1479) * CHOOSE( CONTROL!$C$15, $D$11, 100%, $F$11)</f>
        <v>8.1501999999999999</v>
      </c>
      <c r="F215" s="4">
        <f>CHOOSE( CONTROL!$C$32, 8.8483, 8.846) * CHOOSE(CONTROL!$C$15, $D$11, 100%, $F$11)</f>
        <v>8.8483000000000001</v>
      </c>
      <c r="G215" s="8">
        <f>CHOOSE( CONTROL!$C$32, 7.9341, 7.9319) * CHOOSE( CONTROL!$C$15, $D$11, 100%, $F$11)</f>
        <v>7.9340999999999999</v>
      </c>
      <c r="H215" s="4">
        <f>CHOOSE( CONTROL!$C$32, 8.8851, 8.8829) * CHOOSE(CONTROL!$C$15, $D$11, 100%, $F$11)</f>
        <v>8.8850999999999996</v>
      </c>
      <c r="I215" s="8">
        <f>CHOOSE( CONTROL!$C$32, 7.8994, 7.8972) * CHOOSE(CONTROL!$C$15, $D$11, 100%, $F$11)</f>
        <v>7.8994</v>
      </c>
      <c r="J215" s="4">
        <f>CHOOSE( CONTROL!$C$32, 7.7811, 7.7789) * CHOOSE(CONTROL!$C$15, $D$11, 100%, $F$11)</f>
        <v>7.7811000000000003</v>
      </c>
      <c r="K215" s="4"/>
      <c r="L215" s="9">
        <v>30.7165</v>
      </c>
      <c r="M215" s="9">
        <v>12.063700000000001</v>
      </c>
      <c r="N215" s="9">
        <v>4.9444999999999997</v>
      </c>
      <c r="O215" s="9">
        <v>0.37409999999999999</v>
      </c>
      <c r="P215" s="9">
        <v>1.2183999999999999</v>
      </c>
      <c r="Q215" s="9">
        <v>31.026700000000002</v>
      </c>
      <c r="R215" s="9"/>
      <c r="S215" s="11"/>
    </row>
    <row r="216" spans="1:19" ht="15.75">
      <c r="A216" s="13">
        <v>48061</v>
      </c>
      <c r="B216" s="8">
        <f>CHOOSE( CONTROL!$C$32, 7.494, 7.4917) * CHOOSE(CONTROL!$C$15, $D$11, 100%, $F$11)</f>
        <v>7.4939999999999998</v>
      </c>
      <c r="C216" s="8">
        <f>CHOOSE( CONTROL!$C$32, 7.5045, 7.5022) * CHOOSE(CONTROL!$C$15, $D$11, 100%, $F$11)</f>
        <v>7.5045000000000002</v>
      </c>
      <c r="D216" s="8">
        <f>CHOOSE( CONTROL!$C$32, 7.5388, 7.5365) * CHOOSE( CONTROL!$C$15, $D$11, 100%, $F$11)</f>
        <v>7.5388000000000002</v>
      </c>
      <c r="E216" s="12">
        <f>CHOOSE( CONTROL!$C$32, 7.5248, 7.5225) * CHOOSE( CONTROL!$C$15, $D$11, 100%, $F$11)</f>
        <v>7.5247999999999999</v>
      </c>
      <c r="F216" s="4">
        <f>CHOOSE( CONTROL!$C$32, 8.2229, 8.2206) * CHOOSE(CONTROL!$C$15, $D$11, 100%, $F$11)</f>
        <v>8.2228999999999992</v>
      </c>
      <c r="G216" s="8">
        <f>CHOOSE( CONTROL!$C$32, 7.3227, 7.3205) * CHOOSE( CONTROL!$C$15, $D$11, 100%, $F$11)</f>
        <v>7.3227000000000002</v>
      </c>
      <c r="H216" s="4">
        <f>CHOOSE( CONTROL!$C$32, 8.2737, 8.2714) * CHOOSE(CONTROL!$C$15, $D$11, 100%, $F$11)</f>
        <v>8.2736999999999998</v>
      </c>
      <c r="I216" s="8">
        <f>CHOOSE( CONTROL!$C$32, 7.2989, 7.2967) * CHOOSE(CONTROL!$C$15, $D$11, 100%, $F$11)</f>
        <v>7.2988999999999997</v>
      </c>
      <c r="J216" s="4">
        <f>CHOOSE( CONTROL!$C$32, 7.1806, 7.1784) * CHOOSE(CONTROL!$C$15, $D$11, 100%, $F$11)</f>
        <v>7.1806000000000001</v>
      </c>
      <c r="K216" s="4"/>
      <c r="L216" s="9">
        <v>30.7165</v>
      </c>
      <c r="M216" s="9">
        <v>12.063700000000001</v>
      </c>
      <c r="N216" s="9">
        <v>4.9444999999999997</v>
      </c>
      <c r="O216" s="9">
        <v>0.37409999999999999</v>
      </c>
      <c r="P216" s="9">
        <v>1.2183999999999999</v>
      </c>
      <c r="Q216" s="9">
        <v>31.026700000000002</v>
      </c>
      <c r="R216" s="9"/>
      <c r="S216" s="11"/>
    </row>
    <row r="217" spans="1:19" ht="15.75">
      <c r="A217" s="13">
        <v>48092</v>
      </c>
      <c r="B217" s="8">
        <f>CHOOSE( CONTROL!$C$32, 7.3374, 7.3351) * CHOOSE(CONTROL!$C$15, $D$11, 100%, $F$11)</f>
        <v>7.3373999999999997</v>
      </c>
      <c r="C217" s="8">
        <f>CHOOSE( CONTROL!$C$32, 7.3479, 7.3456) * CHOOSE(CONTROL!$C$15, $D$11, 100%, $F$11)</f>
        <v>7.3479000000000001</v>
      </c>
      <c r="D217" s="8">
        <f>CHOOSE( CONTROL!$C$32, 7.3822, 7.3799) * CHOOSE( CONTROL!$C$15, $D$11, 100%, $F$11)</f>
        <v>7.3822000000000001</v>
      </c>
      <c r="E217" s="12">
        <f>CHOOSE( CONTROL!$C$32, 7.3682, 7.3659) * CHOOSE( CONTROL!$C$15, $D$11, 100%, $F$11)</f>
        <v>7.3681999999999999</v>
      </c>
      <c r="F217" s="4">
        <f>CHOOSE( CONTROL!$C$32, 8.0663, 8.064) * CHOOSE(CONTROL!$C$15, $D$11, 100%, $F$11)</f>
        <v>8.0663</v>
      </c>
      <c r="G217" s="8">
        <f>CHOOSE( CONTROL!$C$32, 7.1696, 7.1673) * CHOOSE( CONTROL!$C$15, $D$11, 100%, $F$11)</f>
        <v>7.1696</v>
      </c>
      <c r="H217" s="4">
        <f>CHOOSE( CONTROL!$C$32, 8.1205, 8.1183) * CHOOSE(CONTROL!$C$15, $D$11, 100%, $F$11)</f>
        <v>8.1204999999999998</v>
      </c>
      <c r="I217" s="8">
        <f>CHOOSE( CONTROL!$C$32, 7.1483, 7.1461) * CHOOSE(CONTROL!$C$15, $D$11, 100%, $F$11)</f>
        <v>7.1482999999999999</v>
      </c>
      <c r="J217" s="4">
        <f>CHOOSE( CONTROL!$C$32, 7.0303, 7.0281) * CHOOSE(CONTROL!$C$15, $D$11, 100%, $F$11)</f>
        <v>7.0303000000000004</v>
      </c>
      <c r="K217" s="4"/>
      <c r="L217" s="9">
        <v>29.7257</v>
      </c>
      <c r="M217" s="9">
        <v>11.6745</v>
      </c>
      <c r="N217" s="9">
        <v>4.7850000000000001</v>
      </c>
      <c r="O217" s="9">
        <v>0.36199999999999999</v>
      </c>
      <c r="P217" s="9">
        <v>1.1791</v>
      </c>
      <c r="Q217" s="9">
        <v>30.0258</v>
      </c>
      <c r="R217" s="9"/>
      <c r="S217" s="11"/>
    </row>
    <row r="218" spans="1:19" ht="15.75">
      <c r="A218" s="13">
        <v>48122</v>
      </c>
      <c r="B218" s="8">
        <f>7.6604 * CHOOSE(CONTROL!$C$15, $D$11, 100%, $F$11)</f>
        <v>7.6604000000000001</v>
      </c>
      <c r="C218" s="8">
        <f>7.6711 * CHOOSE(CONTROL!$C$15, $D$11, 100%, $F$11)</f>
        <v>7.6711</v>
      </c>
      <c r="D218" s="8">
        <f>7.7065 * CHOOSE( CONTROL!$C$15, $D$11, 100%, $F$11)</f>
        <v>7.7065000000000001</v>
      </c>
      <c r="E218" s="12">
        <f>7.6937 * CHOOSE( CONTROL!$C$15, $D$11, 100%, $F$11)</f>
        <v>7.6936999999999998</v>
      </c>
      <c r="F218" s="4">
        <f>8.3892 * CHOOSE(CONTROL!$C$15, $D$11, 100%, $F$11)</f>
        <v>8.3892000000000007</v>
      </c>
      <c r="G218" s="8">
        <f>7.4851 * CHOOSE( CONTROL!$C$15, $D$11, 100%, $F$11)</f>
        <v>7.4851000000000001</v>
      </c>
      <c r="H218" s="4">
        <f>8.4362 * CHOOSE(CONTROL!$C$15, $D$11, 100%, $F$11)</f>
        <v>8.4361999999999995</v>
      </c>
      <c r="I218" s="8">
        <f>7.4594 * CHOOSE(CONTROL!$C$15, $D$11, 100%, $F$11)</f>
        <v>7.4593999999999996</v>
      </c>
      <c r="J218" s="4">
        <f>7.3403 * CHOOSE(CONTROL!$C$15, $D$11, 100%, $F$11)</f>
        <v>7.3403</v>
      </c>
      <c r="K218" s="4"/>
      <c r="L218" s="9">
        <v>31.095300000000002</v>
      </c>
      <c r="M218" s="9">
        <v>12.063700000000001</v>
      </c>
      <c r="N218" s="9">
        <v>4.9444999999999997</v>
      </c>
      <c r="O218" s="9">
        <v>0.37409999999999999</v>
      </c>
      <c r="P218" s="9">
        <v>1.2183999999999999</v>
      </c>
      <c r="Q218" s="9">
        <v>31.026700000000002</v>
      </c>
      <c r="R218" s="9"/>
      <c r="S218" s="11"/>
    </row>
    <row r="219" spans="1:19" ht="15.75">
      <c r="A219" s="13">
        <v>48153</v>
      </c>
      <c r="B219" s="8">
        <f>8.2606 * CHOOSE(CONTROL!$C$15, $D$11, 100%, $F$11)</f>
        <v>8.2606000000000002</v>
      </c>
      <c r="C219" s="8">
        <f>8.2714 * CHOOSE(CONTROL!$C$15, $D$11, 100%, $F$11)</f>
        <v>8.2713999999999999</v>
      </c>
      <c r="D219" s="8">
        <f>8.2474 * CHOOSE( CONTROL!$C$15, $D$11, 100%, $F$11)</f>
        <v>8.2474000000000007</v>
      </c>
      <c r="E219" s="12">
        <f>8.255 * CHOOSE( CONTROL!$C$15, $D$11, 100%, $F$11)</f>
        <v>8.2550000000000008</v>
      </c>
      <c r="F219" s="4">
        <f>8.9217 * CHOOSE(CONTROL!$C$15, $D$11, 100%, $F$11)</f>
        <v>8.9216999999999995</v>
      </c>
      <c r="G219" s="8">
        <f>8.0719 * CHOOSE( CONTROL!$C$15, $D$11, 100%, $F$11)</f>
        <v>8.0718999999999994</v>
      </c>
      <c r="H219" s="4">
        <f>8.9569 * CHOOSE(CONTROL!$C$15, $D$11, 100%, $F$11)</f>
        <v>8.9568999999999992</v>
      </c>
      <c r="I219" s="8">
        <f>8.0793 * CHOOSE(CONTROL!$C$15, $D$11, 100%, $F$11)</f>
        <v>8.0792999999999999</v>
      </c>
      <c r="J219" s="4">
        <f>7.9165 * CHOOSE(CONTROL!$C$15, $D$11, 100%, $F$11)</f>
        <v>7.9165000000000001</v>
      </c>
      <c r="K219" s="4"/>
      <c r="L219" s="9">
        <v>28.360600000000002</v>
      </c>
      <c r="M219" s="9">
        <v>11.6745</v>
      </c>
      <c r="N219" s="9">
        <v>4.7850000000000001</v>
      </c>
      <c r="O219" s="9">
        <v>0.36199999999999999</v>
      </c>
      <c r="P219" s="9">
        <v>1.2509999999999999</v>
      </c>
      <c r="Q219" s="9">
        <v>30.0258</v>
      </c>
      <c r="R219" s="9"/>
      <c r="S219" s="11"/>
    </row>
    <row r="220" spans="1:19" ht="15.75">
      <c r="A220" s="13">
        <v>48183</v>
      </c>
      <c r="B220" s="8">
        <f>8.2456 * CHOOSE(CONTROL!$C$15, $D$11, 100%, $F$11)</f>
        <v>8.2455999999999996</v>
      </c>
      <c r="C220" s="8">
        <f>8.2564 * CHOOSE(CONTROL!$C$15, $D$11, 100%, $F$11)</f>
        <v>8.2563999999999993</v>
      </c>
      <c r="D220" s="8">
        <f>8.2341 * CHOOSE( CONTROL!$C$15, $D$11, 100%, $F$11)</f>
        <v>8.2340999999999998</v>
      </c>
      <c r="E220" s="12">
        <f>8.2411 * CHOOSE( CONTROL!$C$15, $D$11, 100%, $F$11)</f>
        <v>8.2410999999999994</v>
      </c>
      <c r="F220" s="4">
        <f>8.9067 * CHOOSE(CONTROL!$C$15, $D$11, 100%, $F$11)</f>
        <v>8.9067000000000007</v>
      </c>
      <c r="G220" s="8">
        <f>8.0584 * CHOOSE( CONTROL!$C$15, $D$11, 100%, $F$11)</f>
        <v>8.0584000000000007</v>
      </c>
      <c r="H220" s="4">
        <f>8.9422 * CHOOSE(CONTROL!$C$15, $D$11, 100%, $F$11)</f>
        <v>8.9421999999999997</v>
      </c>
      <c r="I220" s="8">
        <f>8.0701 * CHOOSE(CONTROL!$C$15, $D$11, 100%, $F$11)</f>
        <v>8.0701000000000001</v>
      </c>
      <c r="J220" s="4">
        <f>7.9021 * CHOOSE(CONTROL!$C$15, $D$11, 100%, $F$11)</f>
        <v>7.9020999999999999</v>
      </c>
      <c r="K220" s="4"/>
      <c r="L220" s="9">
        <v>29.306000000000001</v>
      </c>
      <c r="M220" s="9">
        <v>12.063700000000001</v>
      </c>
      <c r="N220" s="9">
        <v>4.9444999999999997</v>
      </c>
      <c r="O220" s="9">
        <v>0.37409999999999999</v>
      </c>
      <c r="P220" s="9">
        <v>1.2927</v>
      </c>
      <c r="Q220" s="9">
        <v>31.026700000000002</v>
      </c>
      <c r="R220" s="9"/>
      <c r="S220" s="11"/>
    </row>
    <row r="221" spans="1:19" ht="15.75">
      <c r="A221" s="13">
        <v>48214</v>
      </c>
      <c r="B221" s="8">
        <f>8.5362 * CHOOSE(CONTROL!$C$15, $D$11, 100%, $F$11)</f>
        <v>8.5361999999999991</v>
      </c>
      <c r="C221" s="8">
        <f>8.547 * CHOOSE(CONTROL!$C$15, $D$11, 100%, $F$11)</f>
        <v>8.5470000000000006</v>
      </c>
      <c r="D221" s="8">
        <f>8.5286 * CHOOSE( CONTROL!$C$15, $D$11, 100%, $F$11)</f>
        <v>8.5286000000000008</v>
      </c>
      <c r="E221" s="12">
        <f>8.5342 * CHOOSE( CONTROL!$C$15, $D$11, 100%, $F$11)</f>
        <v>8.5342000000000002</v>
      </c>
      <c r="F221" s="4">
        <f>9.1973 * CHOOSE(CONTROL!$C$15, $D$11, 100%, $F$11)</f>
        <v>9.1973000000000003</v>
      </c>
      <c r="G221" s="8">
        <f>8.3382 * CHOOSE( CONTROL!$C$15, $D$11, 100%, $F$11)</f>
        <v>8.3382000000000005</v>
      </c>
      <c r="H221" s="4">
        <f>9.2263 * CHOOSE(CONTROL!$C$15, $D$11, 100%, $F$11)</f>
        <v>9.2263000000000002</v>
      </c>
      <c r="I221" s="8">
        <f>8.3046 * CHOOSE(CONTROL!$C$15, $D$11, 100%, $F$11)</f>
        <v>8.3046000000000006</v>
      </c>
      <c r="J221" s="4">
        <f>8.1812 * CHOOSE(CONTROL!$C$15, $D$11, 100%, $F$11)</f>
        <v>8.1812000000000005</v>
      </c>
      <c r="K221" s="4"/>
      <c r="L221" s="9">
        <v>29.306000000000001</v>
      </c>
      <c r="M221" s="9">
        <v>12.063700000000001</v>
      </c>
      <c r="N221" s="9">
        <v>4.9444999999999997</v>
      </c>
      <c r="O221" s="9">
        <v>0.37409999999999999</v>
      </c>
      <c r="P221" s="9">
        <v>1.2927</v>
      </c>
      <c r="Q221" s="9">
        <v>30.8704</v>
      </c>
      <c r="R221" s="9"/>
      <c r="S221" s="11"/>
    </row>
    <row r="222" spans="1:19" ht="15.75">
      <c r="A222" s="13">
        <v>48245</v>
      </c>
      <c r="B222" s="8">
        <f>7.9853 * CHOOSE(CONTROL!$C$15, $D$11, 100%, $F$11)</f>
        <v>7.9852999999999996</v>
      </c>
      <c r="C222" s="8">
        <f>7.9961 * CHOOSE(CONTROL!$C$15, $D$11, 100%, $F$11)</f>
        <v>7.9961000000000002</v>
      </c>
      <c r="D222" s="8">
        <f>7.9775 * CHOOSE( CONTROL!$C$15, $D$11, 100%, $F$11)</f>
        <v>7.9775</v>
      </c>
      <c r="E222" s="12">
        <f>7.9832 * CHOOSE( CONTROL!$C$15, $D$11, 100%, $F$11)</f>
        <v>7.9832000000000001</v>
      </c>
      <c r="F222" s="4">
        <f>8.6464 * CHOOSE(CONTROL!$C$15, $D$11, 100%, $F$11)</f>
        <v>8.6463999999999999</v>
      </c>
      <c r="G222" s="8">
        <f>7.7995 * CHOOSE( CONTROL!$C$15, $D$11, 100%, $F$11)</f>
        <v>7.7995000000000001</v>
      </c>
      <c r="H222" s="4">
        <f>8.6877 * CHOOSE(CONTROL!$C$15, $D$11, 100%, $F$11)</f>
        <v>8.6876999999999995</v>
      </c>
      <c r="I222" s="8">
        <f>7.7749 * CHOOSE(CONTROL!$C$15, $D$11, 100%, $F$11)</f>
        <v>7.7748999999999997</v>
      </c>
      <c r="J222" s="4">
        <f>7.6523 * CHOOSE(CONTROL!$C$15, $D$11, 100%, $F$11)</f>
        <v>7.6523000000000003</v>
      </c>
      <c r="K222" s="4"/>
      <c r="L222" s="9">
        <v>27.415299999999998</v>
      </c>
      <c r="M222" s="9">
        <v>11.285299999999999</v>
      </c>
      <c r="N222" s="9">
        <v>4.6254999999999997</v>
      </c>
      <c r="O222" s="9">
        <v>0.34989999999999999</v>
      </c>
      <c r="P222" s="9">
        <v>1.2093</v>
      </c>
      <c r="Q222" s="9">
        <v>28.878799999999998</v>
      </c>
      <c r="R222" s="9"/>
      <c r="S222" s="11"/>
    </row>
    <row r="223" spans="1:19" ht="15.75">
      <c r="A223" s="13">
        <v>48274</v>
      </c>
      <c r="B223" s="8">
        <f>7.8157 * CHOOSE(CONTROL!$C$15, $D$11, 100%, $F$11)</f>
        <v>7.8156999999999996</v>
      </c>
      <c r="C223" s="8">
        <f>7.8264 * CHOOSE(CONTROL!$C$15, $D$11, 100%, $F$11)</f>
        <v>7.8263999999999996</v>
      </c>
      <c r="D223" s="8">
        <f>7.8074 * CHOOSE( CONTROL!$C$15, $D$11, 100%, $F$11)</f>
        <v>7.8074000000000003</v>
      </c>
      <c r="E223" s="12">
        <f>7.8132 * CHOOSE( CONTROL!$C$15, $D$11, 100%, $F$11)</f>
        <v>7.8132000000000001</v>
      </c>
      <c r="F223" s="4">
        <f>8.4768 * CHOOSE(CONTROL!$C$15, $D$11, 100%, $F$11)</f>
        <v>8.4768000000000008</v>
      </c>
      <c r="G223" s="8">
        <f>7.6332 * CHOOSE( CONTROL!$C$15, $D$11, 100%, $F$11)</f>
        <v>7.6332000000000004</v>
      </c>
      <c r="H223" s="4">
        <f>8.5219 * CHOOSE(CONTROL!$C$15, $D$11, 100%, $F$11)</f>
        <v>8.5219000000000005</v>
      </c>
      <c r="I223" s="8">
        <f>7.6104 * CHOOSE(CONTROL!$C$15, $D$11, 100%, $F$11)</f>
        <v>7.6104000000000003</v>
      </c>
      <c r="J223" s="4">
        <f>7.4894 * CHOOSE(CONTROL!$C$15, $D$11, 100%, $F$11)</f>
        <v>7.4893999999999998</v>
      </c>
      <c r="K223" s="4"/>
      <c r="L223" s="9">
        <v>29.306000000000001</v>
      </c>
      <c r="M223" s="9">
        <v>12.063700000000001</v>
      </c>
      <c r="N223" s="9">
        <v>4.9444999999999997</v>
      </c>
      <c r="O223" s="9">
        <v>0.37409999999999999</v>
      </c>
      <c r="P223" s="9">
        <v>1.2927</v>
      </c>
      <c r="Q223" s="9">
        <v>30.8704</v>
      </c>
      <c r="R223" s="9"/>
      <c r="S223" s="11"/>
    </row>
    <row r="224" spans="1:19" ht="15.75">
      <c r="A224" s="13">
        <v>48305</v>
      </c>
      <c r="B224" s="8">
        <f>7.9342 * CHOOSE(CONTROL!$C$15, $D$11, 100%, $F$11)</f>
        <v>7.9341999999999997</v>
      </c>
      <c r="C224" s="8">
        <f>7.945 * CHOOSE(CONTROL!$C$15, $D$11, 100%, $F$11)</f>
        <v>7.9450000000000003</v>
      </c>
      <c r="D224" s="8">
        <f>7.9797 * CHOOSE( CONTROL!$C$15, $D$11, 100%, $F$11)</f>
        <v>7.9797000000000002</v>
      </c>
      <c r="E224" s="12">
        <f>7.967 * CHOOSE( CONTROL!$C$15, $D$11, 100%, $F$11)</f>
        <v>7.9669999999999996</v>
      </c>
      <c r="F224" s="4">
        <f>8.663 * CHOOSE(CONTROL!$C$15, $D$11, 100%, $F$11)</f>
        <v>8.6630000000000003</v>
      </c>
      <c r="G224" s="8">
        <f>7.7519 * CHOOSE( CONTROL!$C$15, $D$11, 100%, $F$11)</f>
        <v>7.7519</v>
      </c>
      <c r="H224" s="4">
        <f>8.704 * CHOOSE(CONTROL!$C$15, $D$11, 100%, $F$11)</f>
        <v>8.7040000000000006</v>
      </c>
      <c r="I224" s="8">
        <f>7.7196 * CHOOSE(CONTROL!$C$15, $D$11, 100%, $F$11)</f>
        <v>7.7195999999999998</v>
      </c>
      <c r="J224" s="4">
        <f>7.6032 * CHOOSE(CONTROL!$C$15, $D$11, 100%, $F$11)</f>
        <v>7.6032000000000002</v>
      </c>
      <c r="K224" s="4"/>
      <c r="L224" s="9">
        <v>30.092199999999998</v>
      </c>
      <c r="M224" s="9">
        <v>11.6745</v>
      </c>
      <c r="N224" s="9">
        <v>4.7850000000000001</v>
      </c>
      <c r="O224" s="9">
        <v>0.36199999999999999</v>
      </c>
      <c r="P224" s="9">
        <v>1.1791</v>
      </c>
      <c r="Q224" s="9">
        <v>29.874600000000001</v>
      </c>
      <c r="R224" s="9"/>
      <c r="S224" s="11"/>
    </row>
    <row r="225" spans="1:19" ht="15.75">
      <c r="A225" s="13">
        <v>48335</v>
      </c>
      <c r="B225" s="8">
        <f>CHOOSE( CONTROL!$C$32, 8.1474, 8.1451) * CHOOSE(CONTROL!$C$15, $D$11, 100%, $F$11)</f>
        <v>8.1473999999999993</v>
      </c>
      <c r="C225" s="8">
        <f>CHOOSE( CONTROL!$C$32, 8.158, 8.1557) * CHOOSE(CONTROL!$C$15, $D$11, 100%, $F$11)</f>
        <v>8.1579999999999995</v>
      </c>
      <c r="D225" s="8">
        <f>CHOOSE( CONTROL!$C$32, 8.1918, 8.1895) * CHOOSE( CONTROL!$C$15, $D$11, 100%, $F$11)</f>
        <v>8.1918000000000006</v>
      </c>
      <c r="E225" s="12">
        <f>CHOOSE( CONTROL!$C$32, 8.1779, 8.1756) * CHOOSE( CONTROL!$C$15, $D$11, 100%, $F$11)</f>
        <v>8.1778999999999993</v>
      </c>
      <c r="F225" s="4">
        <f>CHOOSE( CONTROL!$C$32, 8.8763, 8.874) * CHOOSE(CONTROL!$C$15, $D$11, 100%, $F$11)</f>
        <v>8.8763000000000005</v>
      </c>
      <c r="G225" s="8">
        <f>CHOOSE( CONTROL!$C$32, 7.9609, 7.9587) * CHOOSE( CONTROL!$C$15, $D$11, 100%, $F$11)</f>
        <v>7.9608999999999996</v>
      </c>
      <c r="H225" s="4">
        <f>CHOOSE( CONTROL!$C$32, 8.9125, 8.9103) * CHOOSE(CONTROL!$C$15, $D$11, 100%, $F$11)</f>
        <v>8.9124999999999996</v>
      </c>
      <c r="I225" s="8">
        <f>CHOOSE( CONTROL!$C$32, 7.9246, 7.9224) * CHOOSE(CONTROL!$C$15, $D$11, 100%, $F$11)</f>
        <v>7.9245999999999999</v>
      </c>
      <c r="J225" s="4">
        <f>CHOOSE( CONTROL!$C$32, 7.808, 7.8058) * CHOOSE(CONTROL!$C$15, $D$11, 100%, $F$11)</f>
        <v>7.8079999999999998</v>
      </c>
      <c r="K225" s="4"/>
      <c r="L225" s="9">
        <v>30.7165</v>
      </c>
      <c r="M225" s="9">
        <v>12.063700000000001</v>
      </c>
      <c r="N225" s="9">
        <v>4.9444999999999997</v>
      </c>
      <c r="O225" s="9">
        <v>0.37409999999999999</v>
      </c>
      <c r="P225" s="9">
        <v>1.2183999999999999</v>
      </c>
      <c r="Q225" s="9">
        <v>30.8704</v>
      </c>
      <c r="R225" s="9"/>
      <c r="S225" s="11"/>
    </row>
    <row r="226" spans="1:19" ht="15.75">
      <c r="A226" s="13">
        <v>48366</v>
      </c>
      <c r="B226" s="8">
        <f>CHOOSE( CONTROL!$C$32, 8.0167, 8.0144) * CHOOSE(CONTROL!$C$15, $D$11, 100%, $F$11)</f>
        <v>8.0167000000000002</v>
      </c>
      <c r="C226" s="8">
        <f>CHOOSE( CONTROL!$C$32, 8.0273, 8.025) * CHOOSE(CONTROL!$C$15, $D$11, 100%, $F$11)</f>
        <v>8.0273000000000003</v>
      </c>
      <c r="D226" s="8">
        <f>CHOOSE( CONTROL!$C$32, 8.0612, 8.0589) * CHOOSE( CONTROL!$C$15, $D$11, 100%, $F$11)</f>
        <v>8.0611999999999995</v>
      </c>
      <c r="E226" s="12">
        <f>CHOOSE( CONTROL!$C$32, 8.0473, 8.045) * CHOOSE( CONTROL!$C$15, $D$11, 100%, $F$11)</f>
        <v>8.0472999999999999</v>
      </c>
      <c r="F226" s="4">
        <f>CHOOSE( CONTROL!$C$32, 8.7456, 8.7433) * CHOOSE(CONTROL!$C$15, $D$11, 100%, $F$11)</f>
        <v>8.7455999999999996</v>
      </c>
      <c r="G226" s="8">
        <f>CHOOSE( CONTROL!$C$32, 7.8334, 7.8311) * CHOOSE( CONTROL!$C$15, $D$11, 100%, $F$11)</f>
        <v>7.8334000000000001</v>
      </c>
      <c r="H226" s="4">
        <f>CHOOSE( CONTROL!$C$32, 8.7847, 8.7825) * CHOOSE(CONTROL!$C$15, $D$11, 100%, $F$11)</f>
        <v>8.7847000000000008</v>
      </c>
      <c r="I226" s="8">
        <f>CHOOSE( CONTROL!$C$32, 7.7998, 7.7976) * CHOOSE(CONTROL!$C$15, $D$11, 100%, $F$11)</f>
        <v>7.7998000000000003</v>
      </c>
      <c r="J226" s="4">
        <f>CHOOSE( CONTROL!$C$32, 7.6825, 7.6803) * CHOOSE(CONTROL!$C$15, $D$11, 100%, $F$11)</f>
        <v>7.6825000000000001</v>
      </c>
      <c r="K226" s="4"/>
      <c r="L226" s="9">
        <v>29.7257</v>
      </c>
      <c r="M226" s="9">
        <v>11.6745</v>
      </c>
      <c r="N226" s="9">
        <v>4.7850000000000001</v>
      </c>
      <c r="O226" s="9">
        <v>0.36199999999999999</v>
      </c>
      <c r="P226" s="9">
        <v>1.1791</v>
      </c>
      <c r="Q226" s="9">
        <v>29.874600000000001</v>
      </c>
      <c r="R226" s="9"/>
      <c r="S226" s="11"/>
    </row>
    <row r="227" spans="1:19" ht="15.75">
      <c r="A227" s="13">
        <v>48396</v>
      </c>
      <c r="B227" s="8">
        <f>CHOOSE( CONTROL!$C$32, 8.3609, 8.3586) * CHOOSE(CONTROL!$C$15, $D$11, 100%, $F$11)</f>
        <v>8.3609000000000009</v>
      </c>
      <c r="C227" s="8">
        <f>CHOOSE( CONTROL!$C$32, 8.3715, 8.3692) * CHOOSE(CONTROL!$C$15, $D$11, 100%, $F$11)</f>
        <v>8.3714999999999993</v>
      </c>
      <c r="D227" s="8">
        <f>CHOOSE( CONTROL!$C$32, 8.4057, 8.4034) * CHOOSE( CONTROL!$C$15, $D$11, 100%, $F$11)</f>
        <v>8.4056999999999995</v>
      </c>
      <c r="E227" s="12">
        <f>CHOOSE( CONTROL!$C$32, 8.3917, 8.3894) * CHOOSE( CONTROL!$C$15, $D$11, 100%, $F$11)</f>
        <v>8.3917000000000002</v>
      </c>
      <c r="F227" s="4">
        <f>CHOOSE( CONTROL!$C$32, 9.0899, 9.0875) * CHOOSE(CONTROL!$C$15, $D$11, 100%, $F$11)</f>
        <v>9.0899000000000001</v>
      </c>
      <c r="G227" s="8">
        <f>CHOOSE( CONTROL!$C$32, 8.1702, 8.168) * CHOOSE( CONTROL!$C$15, $D$11, 100%, $F$11)</f>
        <v>8.1701999999999995</v>
      </c>
      <c r="H227" s="4">
        <f>CHOOSE( CONTROL!$C$32, 9.1213, 9.119) * CHOOSE(CONTROL!$C$15, $D$11, 100%, $F$11)</f>
        <v>9.1212999999999997</v>
      </c>
      <c r="I227" s="8">
        <f>CHOOSE( CONTROL!$C$32, 8.1314, 8.1292) * CHOOSE(CONTROL!$C$15, $D$11, 100%, $F$11)</f>
        <v>8.1313999999999993</v>
      </c>
      <c r="J227" s="4">
        <f>CHOOSE( CONTROL!$C$32, 8.013, 8.0108) * CHOOSE(CONTROL!$C$15, $D$11, 100%, $F$11)</f>
        <v>8.0129999999999999</v>
      </c>
      <c r="K227" s="4"/>
      <c r="L227" s="9">
        <v>30.7165</v>
      </c>
      <c r="M227" s="9">
        <v>12.063700000000001</v>
      </c>
      <c r="N227" s="9">
        <v>4.9444999999999997</v>
      </c>
      <c r="O227" s="9">
        <v>0.37409999999999999</v>
      </c>
      <c r="P227" s="9">
        <v>1.2183999999999999</v>
      </c>
      <c r="Q227" s="9">
        <v>30.8704</v>
      </c>
      <c r="R227" s="9"/>
      <c r="S227" s="11"/>
    </row>
    <row r="228" spans="1:19" ht="15.75">
      <c r="A228" s="13">
        <v>48427</v>
      </c>
      <c r="B228" s="8">
        <f>CHOOSE( CONTROL!$C$32, 7.7168, 7.7145) * CHOOSE(CONTROL!$C$15, $D$11, 100%, $F$11)</f>
        <v>7.7168000000000001</v>
      </c>
      <c r="C228" s="8">
        <f>CHOOSE( CONTROL!$C$32, 7.7274, 7.7251) * CHOOSE(CONTROL!$C$15, $D$11, 100%, $F$11)</f>
        <v>7.7274000000000003</v>
      </c>
      <c r="D228" s="8">
        <f>CHOOSE( CONTROL!$C$32, 7.7617, 7.7594) * CHOOSE( CONTROL!$C$15, $D$11, 100%, $F$11)</f>
        <v>7.7617000000000003</v>
      </c>
      <c r="E228" s="12">
        <f>CHOOSE( CONTROL!$C$32, 7.7477, 7.7454) * CHOOSE( CONTROL!$C$15, $D$11, 100%, $F$11)</f>
        <v>7.7477</v>
      </c>
      <c r="F228" s="4">
        <f>CHOOSE( CONTROL!$C$32, 8.4458, 8.4435) * CHOOSE(CONTROL!$C$15, $D$11, 100%, $F$11)</f>
        <v>8.4458000000000002</v>
      </c>
      <c r="G228" s="8">
        <f>CHOOSE( CONTROL!$C$32, 7.5406, 7.5384) * CHOOSE( CONTROL!$C$15, $D$11, 100%, $F$11)</f>
        <v>7.5406000000000004</v>
      </c>
      <c r="H228" s="4">
        <f>CHOOSE( CONTROL!$C$32, 8.4916, 8.4893) * CHOOSE(CONTROL!$C$15, $D$11, 100%, $F$11)</f>
        <v>8.4916</v>
      </c>
      <c r="I228" s="8">
        <f>CHOOSE( CONTROL!$C$32, 7.513, 7.5108) * CHOOSE(CONTROL!$C$15, $D$11, 100%, $F$11)</f>
        <v>7.5129999999999999</v>
      </c>
      <c r="J228" s="4">
        <f>CHOOSE( CONTROL!$C$32, 7.3946, 7.3924) * CHOOSE(CONTROL!$C$15, $D$11, 100%, $F$11)</f>
        <v>7.3945999999999996</v>
      </c>
      <c r="K228" s="4"/>
      <c r="L228" s="9">
        <v>30.7165</v>
      </c>
      <c r="M228" s="9">
        <v>12.063700000000001</v>
      </c>
      <c r="N228" s="9">
        <v>4.9444999999999997</v>
      </c>
      <c r="O228" s="9">
        <v>0.37409999999999999</v>
      </c>
      <c r="P228" s="9">
        <v>1.2183999999999999</v>
      </c>
      <c r="Q228" s="9">
        <v>30.8704</v>
      </c>
      <c r="R228" s="9"/>
      <c r="S228" s="11"/>
    </row>
    <row r="229" spans="1:19" ht="15.75">
      <c r="A229" s="13">
        <v>48458</v>
      </c>
      <c r="B229" s="8">
        <f>CHOOSE( CONTROL!$C$32, 7.5555, 7.5532) * CHOOSE(CONTROL!$C$15, $D$11, 100%, $F$11)</f>
        <v>7.5555000000000003</v>
      </c>
      <c r="C229" s="8">
        <f>CHOOSE( CONTROL!$C$32, 7.5661, 7.5638) * CHOOSE(CONTROL!$C$15, $D$11, 100%, $F$11)</f>
        <v>7.5660999999999996</v>
      </c>
      <c r="D229" s="8">
        <f>CHOOSE( CONTROL!$C$32, 7.6004, 7.5981) * CHOOSE( CONTROL!$C$15, $D$11, 100%, $F$11)</f>
        <v>7.6003999999999996</v>
      </c>
      <c r="E229" s="12">
        <f>CHOOSE( CONTROL!$C$32, 7.5864, 7.5841) * CHOOSE( CONTROL!$C$15, $D$11, 100%, $F$11)</f>
        <v>7.5864000000000003</v>
      </c>
      <c r="F229" s="4">
        <f>CHOOSE( CONTROL!$C$32, 8.2845, 8.2822) * CHOOSE(CONTROL!$C$15, $D$11, 100%, $F$11)</f>
        <v>8.2844999999999995</v>
      </c>
      <c r="G229" s="8">
        <f>CHOOSE( CONTROL!$C$32, 7.3829, 7.3806) * CHOOSE( CONTROL!$C$15, $D$11, 100%, $F$11)</f>
        <v>7.3829000000000002</v>
      </c>
      <c r="H229" s="4">
        <f>CHOOSE( CONTROL!$C$32, 8.3339, 8.3316) * CHOOSE(CONTROL!$C$15, $D$11, 100%, $F$11)</f>
        <v>8.3338999999999999</v>
      </c>
      <c r="I229" s="8">
        <f>CHOOSE( CONTROL!$C$32, 7.3579, 7.3557) * CHOOSE(CONTROL!$C$15, $D$11, 100%, $F$11)</f>
        <v>7.3578999999999999</v>
      </c>
      <c r="J229" s="4">
        <f>CHOOSE( CONTROL!$C$32, 7.2398, 7.2375) * CHOOSE(CONTROL!$C$15, $D$11, 100%, $F$11)</f>
        <v>7.2397999999999998</v>
      </c>
      <c r="K229" s="4"/>
      <c r="L229" s="9">
        <v>29.7257</v>
      </c>
      <c r="M229" s="9">
        <v>11.6745</v>
      </c>
      <c r="N229" s="9">
        <v>4.7850000000000001</v>
      </c>
      <c r="O229" s="9">
        <v>0.36199999999999999</v>
      </c>
      <c r="P229" s="9">
        <v>1.1791</v>
      </c>
      <c r="Q229" s="9">
        <v>29.874600000000001</v>
      </c>
      <c r="R229" s="9"/>
      <c r="S229" s="11"/>
    </row>
    <row r="230" spans="1:19" ht="15.75">
      <c r="A230" s="13">
        <v>48488</v>
      </c>
      <c r="B230" s="8">
        <f>7.8882 * CHOOSE(CONTROL!$C$15, $D$11, 100%, $F$11)</f>
        <v>7.8882000000000003</v>
      </c>
      <c r="C230" s="8">
        <f>7.899 * CHOOSE(CONTROL!$C$15, $D$11, 100%, $F$11)</f>
        <v>7.899</v>
      </c>
      <c r="D230" s="8">
        <f>7.9344 * CHOOSE( CONTROL!$C$15, $D$11, 100%, $F$11)</f>
        <v>7.9344000000000001</v>
      </c>
      <c r="E230" s="12">
        <f>7.9216 * CHOOSE( CONTROL!$C$15, $D$11, 100%, $F$11)</f>
        <v>7.9215999999999998</v>
      </c>
      <c r="F230" s="4">
        <f>8.6171 * CHOOSE(CONTROL!$C$15, $D$11, 100%, $F$11)</f>
        <v>8.6171000000000006</v>
      </c>
      <c r="G230" s="8">
        <f>7.7079 * CHOOSE( CONTROL!$C$15, $D$11, 100%, $F$11)</f>
        <v>7.7079000000000004</v>
      </c>
      <c r="H230" s="4">
        <f>8.659 * CHOOSE(CONTROL!$C$15, $D$11, 100%, $F$11)</f>
        <v>8.6590000000000007</v>
      </c>
      <c r="I230" s="8">
        <f>7.6783 * CHOOSE(CONTROL!$C$15, $D$11, 100%, $F$11)</f>
        <v>7.6783000000000001</v>
      </c>
      <c r="J230" s="4">
        <f>7.5591 * CHOOSE(CONTROL!$C$15, $D$11, 100%, $F$11)</f>
        <v>7.5590999999999999</v>
      </c>
      <c r="K230" s="4"/>
      <c r="L230" s="9">
        <v>31.095300000000002</v>
      </c>
      <c r="M230" s="9">
        <v>12.063700000000001</v>
      </c>
      <c r="N230" s="9">
        <v>4.9444999999999997</v>
      </c>
      <c r="O230" s="9">
        <v>0.37409999999999999</v>
      </c>
      <c r="P230" s="9">
        <v>1.2183999999999999</v>
      </c>
      <c r="Q230" s="9">
        <v>30.8704</v>
      </c>
      <c r="R230" s="9"/>
      <c r="S230" s="11"/>
    </row>
    <row r="231" spans="1:19" ht="15.75">
      <c r="A231" s="13">
        <v>48519</v>
      </c>
      <c r="B231" s="8">
        <f>8.5064 * CHOOSE(CONTROL!$C$15, $D$11, 100%, $F$11)</f>
        <v>8.5063999999999993</v>
      </c>
      <c r="C231" s="8">
        <f>8.5171 * CHOOSE(CONTROL!$C$15, $D$11, 100%, $F$11)</f>
        <v>8.5170999999999992</v>
      </c>
      <c r="D231" s="8">
        <f>8.4932 * CHOOSE( CONTROL!$C$15, $D$11, 100%, $F$11)</f>
        <v>8.4931999999999999</v>
      </c>
      <c r="E231" s="12">
        <f>8.5008 * CHOOSE( CONTROL!$C$15, $D$11, 100%, $F$11)</f>
        <v>8.5007999999999999</v>
      </c>
      <c r="F231" s="4">
        <f>9.1675 * CHOOSE(CONTROL!$C$15, $D$11, 100%, $F$11)</f>
        <v>9.1675000000000004</v>
      </c>
      <c r="G231" s="8">
        <f>8.3122 * CHOOSE( CONTROL!$C$15, $D$11, 100%, $F$11)</f>
        <v>8.3122000000000007</v>
      </c>
      <c r="H231" s="4">
        <f>9.1972 * CHOOSE(CONTROL!$C$15, $D$11, 100%, $F$11)</f>
        <v>9.1972000000000005</v>
      </c>
      <c r="I231" s="8">
        <f>8.3154 * CHOOSE(CONTROL!$C$15, $D$11, 100%, $F$11)</f>
        <v>8.3154000000000003</v>
      </c>
      <c r="J231" s="4">
        <f>8.1525 * CHOOSE(CONTROL!$C$15, $D$11, 100%, $F$11)</f>
        <v>8.1524999999999999</v>
      </c>
      <c r="K231" s="4"/>
      <c r="L231" s="9">
        <v>28.360600000000002</v>
      </c>
      <c r="M231" s="9">
        <v>11.6745</v>
      </c>
      <c r="N231" s="9">
        <v>4.7850000000000001</v>
      </c>
      <c r="O231" s="9">
        <v>0.36199999999999999</v>
      </c>
      <c r="P231" s="9">
        <v>1.2509999999999999</v>
      </c>
      <c r="Q231" s="9">
        <v>29.874600000000001</v>
      </c>
      <c r="R231" s="9"/>
      <c r="S231" s="11"/>
    </row>
    <row r="232" spans="1:19" ht="15.75">
      <c r="A232" s="13">
        <v>48549</v>
      </c>
      <c r="B232" s="8">
        <f>8.4909 * CHOOSE(CONTROL!$C$15, $D$11, 100%, $F$11)</f>
        <v>8.4908999999999999</v>
      </c>
      <c r="C232" s="8">
        <f>8.5017 * CHOOSE(CONTROL!$C$15, $D$11, 100%, $F$11)</f>
        <v>8.5016999999999996</v>
      </c>
      <c r="D232" s="8">
        <f>8.4794 * CHOOSE( CONTROL!$C$15, $D$11, 100%, $F$11)</f>
        <v>8.4794</v>
      </c>
      <c r="E232" s="12">
        <f>8.4864 * CHOOSE( CONTROL!$C$15, $D$11, 100%, $F$11)</f>
        <v>8.4863999999999997</v>
      </c>
      <c r="F232" s="4">
        <f>9.152 * CHOOSE(CONTROL!$C$15, $D$11, 100%, $F$11)</f>
        <v>9.1519999999999992</v>
      </c>
      <c r="G232" s="8">
        <f>8.2983 * CHOOSE( CONTROL!$C$15, $D$11, 100%, $F$11)</f>
        <v>8.2982999999999993</v>
      </c>
      <c r="H232" s="4">
        <f>9.1821 * CHOOSE(CONTROL!$C$15, $D$11, 100%, $F$11)</f>
        <v>9.1821000000000002</v>
      </c>
      <c r="I232" s="8">
        <f>8.3057 * CHOOSE(CONTROL!$C$15, $D$11, 100%, $F$11)</f>
        <v>8.3056999999999999</v>
      </c>
      <c r="J232" s="4">
        <f>8.1377 * CHOOSE(CONTROL!$C$15, $D$11, 100%, $F$11)</f>
        <v>8.1377000000000006</v>
      </c>
      <c r="K232" s="4"/>
      <c r="L232" s="9">
        <v>29.306000000000001</v>
      </c>
      <c r="M232" s="9">
        <v>12.063700000000001</v>
      </c>
      <c r="N232" s="9">
        <v>4.9444999999999997</v>
      </c>
      <c r="O232" s="9">
        <v>0.37409999999999999</v>
      </c>
      <c r="P232" s="9">
        <v>1.2927</v>
      </c>
      <c r="Q232" s="9">
        <v>30.8704</v>
      </c>
      <c r="R232" s="9"/>
      <c r="S232" s="11"/>
    </row>
    <row r="233" spans="1:19" ht="15.75">
      <c r="A233" s="13">
        <v>48580</v>
      </c>
      <c r="B233" s="8">
        <f>8.7894 * CHOOSE(CONTROL!$C$15, $D$11, 100%, $F$11)</f>
        <v>8.7894000000000005</v>
      </c>
      <c r="C233" s="8">
        <f>8.8002 * CHOOSE(CONTROL!$C$15, $D$11, 100%, $F$11)</f>
        <v>8.8002000000000002</v>
      </c>
      <c r="D233" s="8">
        <f>8.7818 * CHOOSE( CONTROL!$C$15, $D$11, 100%, $F$11)</f>
        <v>8.7818000000000005</v>
      </c>
      <c r="E233" s="12">
        <f>8.7874 * CHOOSE( CONTROL!$C$15, $D$11, 100%, $F$11)</f>
        <v>8.7873999999999999</v>
      </c>
      <c r="F233" s="4">
        <f>9.4505 * CHOOSE(CONTROL!$C$15, $D$11, 100%, $F$11)</f>
        <v>9.4504999999999999</v>
      </c>
      <c r="G233" s="8">
        <f>8.5857 * CHOOSE( CONTROL!$C$15, $D$11, 100%, $F$11)</f>
        <v>8.5856999999999992</v>
      </c>
      <c r="H233" s="4">
        <f>9.4739 * CHOOSE(CONTROL!$C$15, $D$11, 100%, $F$11)</f>
        <v>9.4739000000000004</v>
      </c>
      <c r="I233" s="8">
        <f>8.5478 * CHOOSE(CONTROL!$C$15, $D$11, 100%, $F$11)</f>
        <v>8.5478000000000005</v>
      </c>
      <c r="J233" s="4">
        <f>8.4243 * CHOOSE(CONTROL!$C$15, $D$11, 100%, $F$11)</f>
        <v>8.4243000000000006</v>
      </c>
      <c r="K233" s="4"/>
      <c r="L233" s="9">
        <v>29.306000000000001</v>
      </c>
      <c r="M233" s="9">
        <v>12.063700000000001</v>
      </c>
      <c r="N233" s="9">
        <v>4.9444999999999997</v>
      </c>
      <c r="O233" s="9">
        <v>0.37409999999999999</v>
      </c>
      <c r="P233" s="9">
        <v>1.2927</v>
      </c>
      <c r="Q233" s="9">
        <v>30.773700000000002</v>
      </c>
      <c r="R233" s="9"/>
      <c r="S233" s="11"/>
    </row>
    <row r="234" spans="1:19" ht="15.75">
      <c r="A234" s="13">
        <v>48611</v>
      </c>
      <c r="B234" s="8">
        <f>8.2222 * CHOOSE(CONTROL!$C$15, $D$11, 100%, $F$11)</f>
        <v>8.2222000000000008</v>
      </c>
      <c r="C234" s="8">
        <f>8.2329 * CHOOSE(CONTROL!$C$15, $D$11, 100%, $F$11)</f>
        <v>8.2329000000000008</v>
      </c>
      <c r="D234" s="8">
        <f>8.2144 * CHOOSE( CONTROL!$C$15, $D$11, 100%, $F$11)</f>
        <v>8.2143999999999995</v>
      </c>
      <c r="E234" s="12">
        <f>8.22 * CHOOSE( CONTROL!$C$15, $D$11, 100%, $F$11)</f>
        <v>8.2200000000000006</v>
      </c>
      <c r="F234" s="4">
        <f>8.8833 * CHOOSE(CONTROL!$C$15, $D$11, 100%, $F$11)</f>
        <v>8.8833000000000002</v>
      </c>
      <c r="G234" s="8">
        <f>8.031 * CHOOSE( CONTROL!$C$15, $D$11, 100%, $F$11)</f>
        <v>8.0310000000000006</v>
      </c>
      <c r="H234" s="4">
        <f>8.9193 * CHOOSE(CONTROL!$C$15, $D$11, 100%, $F$11)</f>
        <v>8.9192999999999998</v>
      </c>
      <c r="I234" s="8">
        <f>8.0024 * CHOOSE(CONTROL!$C$15, $D$11, 100%, $F$11)</f>
        <v>8.0023999999999997</v>
      </c>
      <c r="J234" s="4">
        <f>7.8796 * CHOOSE(CONTROL!$C$15, $D$11, 100%, $F$11)</f>
        <v>7.8795999999999999</v>
      </c>
      <c r="K234" s="4"/>
      <c r="L234" s="9">
        <v>26.469899999999999</v>
      </c>
      <c r="M234" s="9">
        <v>10.8962</v>
      </c>
      <c r="N234" s="9">
        <v>4.4660000000000002</v>
      </c>
      <c r="O234" s="9">
        <v>0.33789999999999998</v>
      </c>
      <c r="P234" s="9">
        <v>1.1676</v>
      </c>
      <c r="Q234" s="9">
        <v>27.7956</v>
      </c>
      <c r="R234" s="9"/>
      <c r="S234" s="11"/>
    </row>
    <row r="235" spans="1:19" ht="15.75">
      <c r="A235" s="13">
        <v>48639</v>
      </c>
      <c r="B235" s="8">
        <f>8.0475 * CHOOSE(CONTROL!$C$15, $D$11, 100%, $F$11)</f>
        <v>8.0474999999999994</v>
      </c>
      <c r="C235" s="8">
        <f>8.0582 * CHOOSE(CONTROL!$C$15, $D$11, 100%, $F$11)</f>
        <v>8.0581999999999994</v>
      </c>
      <c r="D235" s="8">
        <f>8.0392 * CHOOSE( CONTROL!$C$15, $D$11, 100%, $F$11)</f>
        <v>8.0391999999999992</v>
      </c>
      <c r="E235" s="12">
        <f>8.045 * CHOOSE( CONTROL!$C$15, $D$11, 100%, $F$11)</f>
        <v>8.0449999999999999</v>
      </c>
      <c r="F235" s="4">
        <f>8.7086 * CHOOSE(CONTROL!$C$15, $D$11, 100%, $F$11)</f>
        <v>8.7086000000000006</v>
      </c>
      <c r="G235" s="8">
        <f>7.8598 * CHOOSE( CONTROL!$C$15, $D$11, 100%, $F$11)</f>
        <v>7.8597999999999999</v>
      </c>
      <c r="H235" s="4">
        <f>8.7485 * CHOOSE(CONTROL!$C$15, $D$11, 100%, $F$11)</f>
        <v>8.7484999999999999</v>
      </c>
      <c r="I235" s="8">
        <f>7.8331 * CHOOSE(CONTROL!$C$15, $D$11, 100%, $F$11)</f>
        <v>7.8331</v>
      </c>
      <c r="J235" s="4">
        <f>7.7119 * CHOOSE(CONTROL!$C$15, $D$11, 100%, $F$11)</f>
        <v>7.7119</v>
      </c>
      <c r="K235" s="4"/>
      <c r="L235" s="9">
        <v>29.306000000000001</v>
      </c>
      <c r="M235" s="9">
        <v>12.063700000000001</v>
      </c>
      <c r="N235" s="9">
        <v>4.9444999999999997</v>
      </c>
      <c r="O235" s="9">
        <v>0.37409999999999999</v>
      </c>
      <c r="P235" s="9">
        <v>1.2927</v>
      </c>
      <c r="Q235" s="9">
        <v>30.773700000000002</v>
      </c>
      <c r="R235" s="9"/>
      <c r="S235" s="11"/>
    </row>
    <row r="236" spans="1:19" ht="15.75">
      <c r="A236" s="13">
        <v>48670</v>
      </c>
      <c r="B236" s="8">
        <f>8.1695 * CHOOSE(CONTROL!$C$15, $D$11, 100%, $F$11)</f>
        <v>8.1694999999999993</v>
      </c>
      <c r="C236" s="8">
        <f>8.1803 * CHOOSE(CONTROL!$C$15, $D$11, 100%, $F$11)</f>
        <v>8.1803000000000008</v>
      </c>
      <c r="D236" s="8">
        <f>8.215 * CHOOSE( CONTROL!$C$15, $D$11, 100%, $F$11)</f>
        <v>8.2149999999999999</v>
      </c>
      <c r="E236" s="12">
        <f>8.2023 * CHOOSE( CONTROL!$C$15, $D$11, 100%, $F$11)</f>
        <v>8.2022999999999993</v>
      </c>
      <c r="F236" s="4">
        <f>8.8983 * CHOOSE(CONTROL!$C$15, $D$11, 100%, $F$11)</f>
        <v>8.8983000000000008</v>
      </c>
      <c r="G236" s="8">
        <f>7.982 * CHOOSE( CONTROL!$C$15, $D$11, 100%, $F$11)</f>
        <v>7.9820000000000002</v>
      </c>
      <c r="H236" s="4">
        <f>8.934 * CHOOSE(CONTROL!$C$15, $D$11, 100%, $F$11)</f>
        <v>8.9339999999999993</v>
      </c>
      <c r="I236" s="8">
        <f>7.9456 * CHOOSE(CONTROL!$C$15, $D$11, 100%, $F$11)</f>
        <v>7.9455999999999998</v>
      </c>
      <c r="J236" s="4">
        <f>7.8291 * CHOOSE(CONTROL!$C$15, $D$11, 100%, $F$11)</f>
        <v>7.8291000000000004</v>
      </c>
      <c r="K236" s="4"/>
      <c r="L236" s="9">
        <v>30.092199999999998</v>
      </c>
      <c r="M236" s="9">
        <v>11.6745</v>
      </c>
      <c r="N236" s="9">
        <v>4.7850000000000001</v>
      </c>
      <c r="O236" s="9">
        <v>0.36199999999999999</v>
      </c>
      <c r="P236" s="9">
        <v>1.1791</v>
      </c>
      <c r="Q236" s="9">
        <v>29.780999999999999</v>
      </c>
      <c r="R236" s="9"/>
      <c r="S236" s="11"/>
    </row>
    <row r="237" spans="1:19" ht="15.75">
      <c r="A237" s="13">
        <v>48700</v>
      </c>
      <c r="B237" s="8">
        <f>CHOOSE( CONTROL!$C$32, 8.389, 8.3867) * CHOOSE(CONTROL!$C$15, $D$11, 100%, $F$11)</f>
        <v>8.3889999999999993</v>
      </c>
      <c r="C237" s="8">
        <f>CHOOSE( CONTROL!$C$32, 8.3995, 8.3972) * CHOOSE(CONTROL!$C$15, $D$11, 100%, $F$11)</f>
        <v>8.3994999999999997</v>
      </c>
      <c r="D237" s="8">
        <f>CHOOSE( CONTROL!$C$32, 8.4334, 8.4311) * CHOOSE( CONTROL!$C$15, $D$11, 100%, $F$11)</f>
        <v>8.4334000000000007</v>
      </c>
      <c r="E237" s="12">
        <f>CHOOSE( CONTROL!$C$32, 8.4195, 8.4172) * CHOOSE( CONTROL!$C$15, $D$11, 100%, $F$11)</f>
        <v>8.4194999999999993</v>
      </c>
      <c r="F237" s="4">
        <f>CHOOSE( CONTROL!$C$32, 9.1179, 9.1156) * CHOOSE(CONTROL!$C$15, $D$11, 100%, $F$11)</f>
        <v>9.1179000000000006</v>
      </c>
      <c r="G237" s="8">
        <f>CHOOSE( CONTROL!$C$32, 8.1971, 8.1949) * CHOOSE( CONTROL!$C$15, $D$11, 100%, $F$11)</f>
        <v>8.1971000000000007</v>
      </c>
      <c r="H237" s="4">
        <f>CHOOSE( CONTROL!$C$32, 9.1487, 9.1465) * CHOOSE(CONTROL!$C$15, $D$11, 100%, $F$11)</f>
        <v>9.1486999999999998</v>
      </c>
      <c r="I237" s="8">
        <f>CHOOSE( CONTROL!$C$32, 8.1566, 8.1544) * CHOOSE(CONTROL!$C$15, $D$11, 100%, $F$11)</f>
        <v>8.1565999999999992</v>
      </c>
      <c r="J237" s="4">
        <f>CHOOSE( CONTROL!$C$32, 8.0399, 8.0377) * CHOOSE(CONTROL!$C$15, $D$11, 100%, $F$11)</f>
        <v>8.0398999999999994</v>
      </c>
      <c r="K237" s="4"/>
      <c r="L237" s="9">
        <v>30.7165</v>
      </c>
      <c r="M237" s="9">
        <v>12.063700000000001</v>
      </c>
      <c r="N237" s="9">
        <v>4.9444999999999997</v>
      </c>
      <c r="O237" s="9">
        <v>0.37409999999999999</v>
      </c>
      <c r="P237" s="9">
        <v>1.2183999999999999</v>
      </c>
      <c r="Q237" s="9">
        <v>30.773700000000002</v>
      </c>
      <c r="R237" s="9"/>
      <c r="S237" s="11"/>
    </row>
    <row r="238" spans="1:19" ht="15.75">
      <c r="A238" s="13">
        <v>48731</v>
      </c>
      <c r="B238" s="8">
        <f>CHOOSE( CONTROL!$C$32, 8.2544, 8.2521) * CHOOSE(CONTROL!$C$15, $D$11, 100%, $F$11)</f>
        <v>8.2544000000000004</v>
      </c>
      <c r="C238" s="8">
        <f>CHOOSE( CONTROL!$C$32, 8.265, 8.2627) * CHOOSE(CONTROL!$C$15, $D$11, 100%, $F$11)</f>
        <v>8.2650000000000006</v>
      </c>
      <c r="D238" s="8">
        <f>CHOOSE( CONTROL!$C$32, 8.2989, 8.2966) * CHOOSE( CONTROL!$C$15, $D$11, 100%, $F$11)</f>
        <v>8.2988999999999997</v>
      </c>
      <c r="E238" s="12">
        <f>CHOOSE( CONTROL!$C$32, 8.285, 8.2827) * CHOOSE( CONTROL!$C$15, $D$11, 100%, $F$11)</f>
        <v>8.2850000000000001</v>
      </c>
      <c r="F238" s="4">
        <f>CHOOSE( CONTROL!$C$32, 8.9833, 8.981) * CHOOSE(CONTROL!$C$15, $D$11, 100%, $F$11)</f>
        <v>8.9832999999999998</v>
      </c>
      <c r="G238" s="8">
        <f>CHOOSE( CONTROL!$C$32, 8.0658, 8.0635) * CHOOSE( CONTROL!$C$15, $D$11, 100%, $F$11)</f>
        <v>8.0657999999999994</v>
      </c>
      <c r="H238" s="4">
        <f>CHOOSE( CONTROL!$C$32, 9.0171, 9.0149) * CHOOSE(CONTROL!$C$15, $D$11, 100%, $F$11)</f>
        <v>9.0170999999999992</v>
      </c>
      <c r="I238" s="8">
        <f>CHOOSE( CONTROL!$C$32, 8.0281, 8.0259) * CHOOSE(CONTROL!$C$15, $D$11, 100%, $F$11)</f>
        <v>8.0281000000000002</v>
      </c>
      <c r="J238" s="4">
        <f>CHOOSE( CONTROL!$C$32, 7.9107, 7.9085) * CHOOSE(CONTROL!$C$15, $D$11, 100%, $F$11)</f>
        <v>7.9107000000000003</v>
      </c>
      <c r="K238" s="4"/>
      <c r="L238" s="9">
        <v>29.7257</v>
      </c>
      <c r="M238" s="9">
        <v>11.6745</v>
      </c>
      <c r="N238" s="9">
        <v>4.7850000000000001</v>
      </c>
      <c r="O238" s="9">
        <v>0.36199999999999999</v>
      </c>
      <c r="P238" s="9">
        <v>1.1791</v>
      </c>
      <c r="Q238" s="9">
        <v>29.780999999999999</v>
      </c>
      <c r="R238" s="9"/>
      <c r="S238" s="11"/>
    </row>
    <row r="239" spans="1:19" ht="15.75">
      <c r="A239" s="13">
        <v>48761</v>
      </c>
      <c r="B239" s="8">
        <f>CHOOSE( CONTROL!$C$32, 8.6088, 8.6065) * CHOOSE(CONTROL!$C$15, $D$11, 100%, $F$11)</f>
        <v>8.6088000000000005</v>
      </c>
      <c r="C239" s="8">
        <f>CHOOSE( CONTROL!$C$32, 8.6194, 8.6171) * CHOOSE(CONTROL!$C$15, $D$11, 100%, $F$11)</f>
        <v>8.6194000000000006</v>
      </c>
      <c r="D239" s="8">
        <f>CHOOSE( CONTROL!$C$32, 8.6536, 8.6513) * CHOOSE( CONTROL!$C$15, $D$11, 100%, $F$11)</f>
        <v>8.6536000000000008</v>
      </c>
      <c r="E239" s="12">
        <f>CHOOSE( CONTROL!$C$32, 8.6396, 8.6373) * CHOOSE( CONTROL!$C$15, $D$11, 100%, $F$11)</f>
        <v>8.6395999999999997</v>
      </c>
      <c r="F239" s="4">
        <f>CHOOSE( CONTROL!$C$32, 9.3378, 9.3355) * CHOOSE(CONTROL!$C$15, $D$11, 100%, $F$11)</f>
        <v>9.3377999999999997</v>
      </c>
      <c r="G239" s="8">
        <f>CHOOSE( CONTROL!$C$32, 8.4126, 8.4104) * CHOOSE( CONTROL!$C$15, $D$11, 100%, $F$11)</f>
        <v>8.4125999999999994</v>
      </c>
      <c r="H239" s="4">
        <f>CHOOSE( CONTROL!$C$32, 9.3637, 9.3614) * CHOOSE(CONTROL!$C$15, $D$11, 100%, $F$11)</f>
        <v>9.3636999999999997</v>
      </c>
      <c r="I239" s="8">
        <f>CHOOSE( CONTROL!$C$32, 8.3696, 8.3673) * CHOOSE(CONTROL!$C$15, $D$11, 100%, $F$11)</f>
        <v>8.3696000000000002</v>
      </c>
      <c r="J239" s="4">
        <f>CHOOSE( CONTROL!$C$32, 8.251, 8.2488) * CHOOSE(CONTROL!$C$15, $D$11, 100%, $F$11)</f>
        <v>8.2509999999999994</v>
      </c>
      <c r="K239" s="4"/>
      <c r="L239" s="9">
        <v>30.7165</v>
      </c>
      <c r="M239" s="9">
        <v>12.063700000000001</v>
      </c>
      <c r="N239" s="9">
        <v>4.9444999999999997</v>
      </c>
      <c r="O239" s="9">
        <v>0.37409999999999999</v>
      </c>
      <c r="P239" s="9">
        <v>1.2183999999999999</v>
      </c>
      <c r="Q239" s="9">
        <v>30.773700000000002</v>
      </c>
      <c r="R239" s="9"/>
      <c r="S239" s="11"/>
    </row>
    <row r="240" spans="1:19" ht="15.75">
      <c r="A240" s="13">
        <v>48792</v>
      </c>
      <c r="B240" s="8">
        <f>CHOOSE( CONTROL!$C$32, 7.9456, 7.9433) * CHOOSE(CONTROL!$C$15, $D$11, 100%, $F$11)</f>
        <v>7.9455999999999998</v>
      </c>
      <c r="C240" s="8">
        <f>CHOOSE( CONTROL!$C$32, 7.9562, 7.9539) * CHOOSE(CONTROL!$C$15, $D$11, 100%, $F$11)</f>
        <v>7.9561999999999999</v>
      </c>
      <c r="D240" s="8">
        <f>CHOOSE( CONTROL!$C$32, 7.9905, 7.9882) * CHOOSE( CONTROL!$C$15, $D$11, 100%, $F$11)</f>
        <v>7.9904999999999999</v>
      </c>
      <c r="E240" s="12">
        <f>CHOOSE( CONTROL!$C$32, 7.9765, 7.9742) * CHOOSE( CONTROL!$C$15, $D$11, 100%, $F$11)</f>
        <v>7.9764999999999997</v>
      </c>
      <c r="F240" s="4">
        <f>CHOOSE( CONTROL!$C$32, 8.6746, 8.6723) * CHOOSE(CONTROL!$C$15, $D$11, 100%, $F$11)</f>
        <v>8.6745999999999999</v>
      </c>
      <c r="G240" s="8">
        <f>CHOOSE( CONTROL!$C$32, 7.7643, 7.7621) * CHOOSE( CONTROL!$C$15, $D$11, 100%, $F$11)</f>
        <v>7.7643000000000004</v>
      </c>
      <c r="H240" s="4">
        <f>CHOOSE( CONTROL!$C$32, 8.7152, 8.713) * CHOOSE(CONTROL!$C$15, $D$11, 100%, $F$11)</f>
        <v>8.7151999999999994</v>
      </c>
      <c r="I240" s="8">
        <f>CHOOSE( CONTROL!$C$32, 7.7328, 7.7306) * CHOOSE(CONTROL!$C$15, $D$11, 100%, $F$11)</f>
        <v>7.7328000000000001</v>
      </c>
      <c r="J240" s="4">
        <f>CHOOSE( CONTROL!$C$32, 7.6143, 7.6121) * CHOOSE(CONTROL!$C$15, $D$11, 100%, $F$11)</f>
        <v>7.6143000000000001</v>
      </c>
      <c r="K240" s="4"/>
      <c r="L240" s="9">
        <v>30.7165</v>
      </c>
      <c r="M240" s="9">
        <v>12.063700000000001</v>
      </c>
      <c r="N240" s="9">
        <v>4.9444999999999997</v>
      </c>
      <c r="O240" s="9">
        <v>0.37409999999999999</v>
      </c>
      <c r="P240" s="9">
        <v>1.2183999999999999</v>
      </c>
      <c r="Q240" s="9">
        <v>30.773700000000002</v>
      </c>
      <c r="R240" s="9"/>
      <c r="S240" s="11"/>
    </row>
    <row r="241" spans="1:19" ht="15.75">
      <c r="A241" s="13">
        <v>48823</v>
      </c>
      <c r="B241" s="8">
        <f>CHOOSE( CONTROL!$C$32, 7.7795, 7.7772) * CHOOSE(CONTROL!$C$15, $D$11, 100%, $F$11)</f>
        <v>7.7794999999999996</v>
      </c>
      <c r="C241" s="8">
        <f>CHOOSE( CONTROL!$C$32, 7.7901, 7.7878) * CHOOSE(CONTROL!$C$15, $D$11, 100%, $F$11)</f>
        <v>7.7900999999999998</v>
      </c>
      <c r="D241" s="8">
        <f>CHOOSE( CONTROL!$C$32, 7.8243, 7.822) * CHOOSE( CONTROL!$C$15, $D$11, 100%, $F$11)</f>
        <v>7.8243</v>
      </c>
      <c r="E241" s="12">
        <f>CHOOSE( CONTROL!$C$32, 7.8103, 7.808) * CHOOSE( CONTROL!$C$15, $D$11, 100%, $F$11)</f>
        <v>7.8102999999999998</v>
      </c>
      <c r="F241" s="4">
        <f>CHOOSE( CONTROL!$C$32, 8.5085, 8.5062) * CHOOSE(CONTROL!$C$15, $D$11, 100%, $F$11)</f>
        <v>8.5084999999999997</v>
      </c>
      <c r="G241" s="8">
        <f>CHOOSE( CONTROL!$C$32, 7.6019, 7.5996) * CHOOSE( CONTROL!$C$15, $D$11, 100%, $F$11)</f>
        <v>7.6018999999999997</v>
      </c>
      <c r="H241" s="4">
        <f>CHOOSE( CONTROL!$C$32, 8.5529, 8.5506) * CHOOSE(CONTROL!$C$15, $D$11, 100%, $F$11)</f>
        <v>8.5528999999999993</v>
      </c>
      <c r="I241" s="8">
        <f>CHOOSE( CONTROL!$C$32, 7.5731, 7.5709) * CHOOSE(CONTROL!$C$15, $D$11, 100%, $F$11)</f>
        <v>7.5731000000000002</v>
      </c>
      <c r="J241" s="4">
        <f>CHOOSE( CONTROL!$C$32, 7.4548, 7.4526) * CHOOSE(CONTROL!$C$15, $D$11, 100%, $F$11)</f>
        <v>7.4547999999999996</v>
      </c>
      <c r="K241" s="4"/>
      <c r="L241" s="9">
        <v>29.7257</v>
      </c>
      <c r="M241" s="9">
        <v>11.6745</v>
      </c>
      <c r="N241" s="9">
        <v>4.7850000000000001</v>
      </c>
      <c r="O241" s="9">
        <v>0.36199999999999999</v>
      </c>
      <c r="P241" s="9">
        <v>1.1791</v>
      </c>
      <c r="Q241" s="9">
        <v>29.780999999999999</v>
      </c>
      <c r="R241" s="9"/>
      <c r="S241" s="11"/>
    </row>
    <row r="242" spans="1:19" ht="15.75">
      <c r="A242" s="13">
        <v>48853</v>
      </c>
      <c r="B242" s="8">
        <f>8.1222 * CHOOSE(CONTROL!$C$15, $D$11, 100%, $F$11)</f>
        <v>8.1221999999999994</v>
      </c>
      <c r="C242" s="8">
        <f>8.1329 * CHOOSE(CONTROL!$C$15, $D$11, 100%, $F$11)</f>
        <v>8.1328999999999994</v>
      </c>
      <c r="D242" s="8">
        <f>8.1683 * CHOOSE( CONTROL!$C$15, $D$11, 100%, $F$11)</f>
        <v>8.1683000000000003</v>
      </c>
      <c r="E242" s="12">
        <f>8.1555 * CHOOSE( CONTROL!$C$15, $D$11, 100%, $F$11)</f>
        <v>8.1555</v>
      </c>
      <c r="F242" s="4">
        <f>8.851 * CHOOSE(CONTROL!$C$15, $D$11, 100%, $F$11)</f>
        <v>8.8510000000000009</v>
      </c>
      <c r="G242" s="8">
        <f>7.9366 * CHOOSE( CONTROL!$C$15, $D$11, 100%, $F$11)</f>
        <v>7.9366000000000003</v>
      </c>
      <c r="H242" s="4">
        <f>8.8878 * CHOOSE(CONTROL!$C$15, $D$11, 100%, $F$11)</f>
        <v>8.8878000000000004</v>
      </c>
      <c r="I242" s="8">
        <f>7.903 * CHOOSE(CONTROL!$C$15, $D$11, 100%, $F$11)</f>
        <v>7.9029999999999996</v>
      </c>
      <c r="J242" s="4">
        <f>7.7837 * CHOOSE(CONTROL!$C$15, $D$11, 100%, $F$11)</f>
        <v>7.7836999999999996</v>
      </c>
      <c r="K242" s="4"/>
      <c r="L242" s="9">
        <v>31.095300000000002</v>
      </c>
      <c r="M242" s="9">
        <v>12.063700000000001</v>
      </c>
      <c r="N242" s="9">
        <v>4.9444999999999997</v>
      </c>
      <c r="O242" s="9">
        <v>0.37409999999999999</v>
      </c>
      <c r="P242" s="9">
        <v>1.2183999999999999</v>
      </c>
      <c r="Q242" s="9">
        <v>30.773700000000002</v>
      </c>
      <c r="R242" s="9"/>
      <c r="S242" s="11"/>
    </row>
    <row r="243" spans="1:19" ht="15.75">
      <c r="A243" s="13">
        <v>48884</v>
      </c>
      <c r="B243" s="8">
        <f>8.7587 * CHOOSE(CONTROL!$C$15, $D$11, 100%, $F$11)</f>
        <v>8.7586999999999993</v>
      </c>
      <c r="C243" s="8">
        <f>8.7695 * CHOOSE(CONTROL!$C$15, $D$11, 100%, $F$11)</f>
        <v>8.7695000000000007</v>
      </c>
      <c r="D243" s="8">
        <f>8.7455 * CHOOSE( CONTROL!$C$15, $D$11, 100%, $F$11)</f>
        <v>8.7454999999999998</v>
      </c>
      <c r="E243" s="12">
        <f>8.7531 * CHOOSE( CONTROL!$C$15, $D$11, 100%, $F$11)</f>
        <v>8.7530999999999999</v>
      </c>
      <c r="F243" s="4">
        <f>9.4198 * CHOOSE(CONTROL!$C$15, $D$11, 100%, $F$11)</f>
        <v>9.4198000000000004</v>
      </c>
      <c r="G243" s="8">
        <f>8.5589 * CHOOSE( CONTROL!$C$15, $D$11, 100%, $F$11)</f>
        <v>8.5588999999999995</v>
      </c>
      <c r="H243" s="4">
        <f>9.4439 * CHOOSE(CONTROL!$C$15, $D$11, 100%, $F$11)</f>
        <v>9.4438999999999993</v>
      </c>
      <c r="I243" s="8">
        <f>8.5578 * CHOOSE(CONTROL!$C$15, $D$11, 100%, $F$11)</f>
        <v>8.5578000000000003</v>
      </c>
      <c r="J243" s="4">
        <f>8.3948 * CHOOSE(CONTROL!$C$15, $D$11, 100%, $F$11)</f>
        <v>8.3948</v>
      </c>
      <c r="K243" s="4"/>
      <c r="L243" s="9">
        <v>28.360600000000002</v>
      </c>
      <c r="M243" s="9">
        <v>11.6745</v>
      </c>
      <c r="N243" s="9">
        <v>4.7850000000000001</v>
      </c>
      <c r="O243" s="9">
        <v>0.36199999999999999</v>
      </c>
      <c r="P243" s="9">
        <v>1.2509999999999999</v>
      </c>
      <c r="Q243" s="9">
        <v>29.780999999999999</v>
      </c>
      <c r="R243" s="9"/>
      <c r="S243" s="11"/>
    </row>
    <row r="244" spans="1:19" ht="15.75">
      <c r="A244" s="13">
        <v>48914</v>
      </c>
      <c r="B244" s="8">
        <f>8.7428 * CHOOSE(CONTROL!$C$15, $D$11, 100%, $F$11)</f>
        <v>8.7428000000000008</v>
      </c>
      <c r="C244" s="8">
        <f>8.7536 * CHOOSE(CONTROL!$C$15, $D$11, 100%, $F$11)</f>
        <v>8.7536000000000005</v>
      </c>
      <c r="D244" s="8">
        <f>8.7313 * CHOOSE( CONTROL!$C$15, $D$11, 100%, $F$11)</f>
        <v>8.7312999999999992</v>
      </c>
      <c r="E244" s="12">
        <f>8.7383 * CHOOSE( CONTROL!$C$15, $D$11, 100%, $F$11)</f>
        <v>8.7383000000000006</v>
      </c>
      <c r="F244" s="4">
        <f>9.4039 * CHOOSE(CONTROL!$C$15, $D$11, 100%, $F$11)</f>
        <v>9.4039000000000001</v>
      </c>
      <c r="G244" s="8">
        <f>8.5445 * CHOOSE( CONTROL!$C$15, $D$11, 100%, $F$11)</f>
        <v>8.5444999999999993</v>
      </c>
      <c r="H244" s="4">
        <f>9.4283 * CHOOSE(CONTROL!$C$15, $D$11, 100%, $F$11)</f>
        <v>9.4283000000000001</v>
      </c>
      <c r="I244" s="8">
        <f>8.5477 * CHOOSE(CONTROL!$C$15, $D$11, 100%, $F$11)</f>
        <v>8.5477000000000007</v>
      </c>
      <c r="J244" s="4">
        <f>8.3795 * CHOOSE(CONTROL!$C$15, $D$11, 100%, $F$11)</f>
        <v>8.3795000000000002</v>
      </c>
      <c r="K244" s="4"/>
      <c r="L244" s="9">
        <v>29.306000000000001</v>
      </c>
      <c r="M244" s="9">
        <v>12.063700000000001</v>
      </c>
      <c r="N244" s="9">
        <v>4.9444999999999997</v>
      </c>
      <c r="O244" s="9">
        <v>0.37409999999999999</v>
      </c>
      <c r="P244" s="9">
        <v>1.2927</v>
      </c>
      <c r="Q244" s="9">
        <v>30.773700000000002</v>
      </c>
      <c r="R244" s="9"/>
      <c r="S244" s="11"/>
    </row>
    <row r="245" spans="1:19" ht="15.75">
      <c r="A245" s="13">
        <v>48945</v>
      </c>
      <c r="B245" s="8">
        <f>8.9649 * CHOOSE(CONTROL!$C$15, $D$11, 100%, $F$11)</f>
        <v>8.9649000000000001</v>
      </c>
      <c r="C245" s="8">
        <f>8.9757 * CHOOSE(CONTROL!$C$15, $D$11, 100%, $F$11)</f>
        <v>8.9756999999999998</v>
      </c>
      <c r="D245" s="8">
        <f>8.9573 * CHOOSE( CONTROL!$C$15, $D$11, 100%, $F$11)</f>
        <v>8.9573</v>
      </c>
      <c r="E245" s="12">
        <f>8.9629 * CHOOSE( CONTROL!$C$15, $D$11, 100%, $F$11)</f>
        <v>8.9628999999999994</v>
      </c>
      <c r="F245" s="4">
        <f>9.626 * CHOOSE(CONTROL!$C$15, $D$11, 100%, $F$11)</f>
        <v>9.6259999999999994</v>
      </c>
      <c r="G245" s="8">
        <f>8.7573 * CHOOSE( CONTROL!$C$15, $D$11, 100%, $F$11)</f>
        <v>8.7573000000000008</v>
      </c>
      <c r="H245" s="4">
        <f>9.6455 * CHOOSE(CONTROL!$C$15, $D$11, 100%, $F$11)</f>
        <v>9.6455000000000002</v>
      </c>
      <c r="I245" s="8">
        <f>8.7164 * CHOOSE(CONTROL!$C$15, $D$11, 100%, $F$11)</f>
        <v>8.7164000000000001</v>
      </c>
      <c r="J245" s="4">
        <f>8.5927 * CHOOSE(CONTROL!$C$15, $D$11, 100%, $F$11)</f>
        <v>8.5927000000000007</v>
      </c>
      <c r="K245" s="4"/>
      <c r="L245" s="9">
        <v>29.306000000000001</v>
      </c>
      <c r="M245" s="9">
        <v>12.063700000000001</v>
      </c>
      <c r="N245" s="9">
        <v>4.9444999999999997</v>
      </c>
      <c r="O245" s="9">
        <v>0.37409999999999999</v>
      </c>
      <c r="P245" s="9">
        <v>1.2927</v>
      </c>
      <c r="Q245" s="9">
        <v>30.7105</v>
      </c>
      <c r="R245" s="9"/>
      <c r="S245" s="11"/>
    </row>
    <row r="246" spans="1:19" ht="15.75">
      <c r="A246" s="13">
        <v>48976</v>
      </c>
      <c r="B246" s="8">
        <f>8.3863 * CHOOSE(CONTROL!$C$15, $D$11, 100%, $F$11)</f>
        <v>8.3863000000000003</v>
      </c>
      <c r="C246" s="8">
        <f>8.3971 * CHOOSE(CONTROL!$C$15, $D$11, 100%, $F$11)</f>
        <v>8.3971</v>
      </c>
      <c r="D246" s="8">
        <f>8.3785 * CHOOSE( CONTROL!$C$15, $D$11, 100%, $F$11)</f>
        <v>8.3785000000000007</v>
      </c>
      <c r="E246" s="12">
        <f>8.3842 * CHOOSE( CONTROL!$C$15, $D$11, 100%, $F$11)</f>
        <v>8.3841999999999999</v>
      </c>
      <c r="F246" s="4">
        <f>9.0474 * CHOOSE(CONTROL!$C$15, $D$11, 100%, $F$11)</f>
        <v>9.0473999999999997</v>
      </c>
      <c r="G246" s="8">
        <f>8.1915 * CHOOSE( CONTROL!$C$15, $D$11, 100%, $F$11)</f>
        <v>8.1914999999999996</v>
      </c>
      <c r="H246" s="4">
        <f>9.0798 * CHOOSE(CONTROL!$C$15, $D$11, 100%, $F$11)</f>
        <v>9.0798000000000005</v>
      </c>
      <c r="I246" s="8">
        <f>8.1601 * CHOOSE(CONTROL!$C$15, $D$11, 100%, $F$11)</f>
        <v>8.1600999999999999</v>
      </c>
      <c r="J246" s="4">
        <f>8.0372 * CHOOSE(CONTROL!$C$15, $D$11, 100%, $F$11)</f>
        <v>8.0372000000000003</v>
      </c>
      <c r="K246" s="4"/>
      <c r="L246" s="9">
        <v>26.469899999999999</v>
      </c>
      <c r="M246" s="9">
        <v>10.8962</v>
      </c>
      <c r="N246" s="9">
        <v>4.4660000000000002</v>
      </c>
      <c r="O246" s="9">
        <v>0.33789999999999998</v>
      </c>
      <c r="P246" s="9">
        <v>1.1676</v>
      </c>
      <c r="Q246" s="9">
        <v>27.738499999999998</v>
      </c>
      <c r="R246" s="9"/>
      <c r="S246" s="11"/>
    </row>
    <row r="247" spans="1:19" ht="15.75">
      <c r="A247" s="13">
        <v>49004</v>
      </c>
      <c r="B247" s="8">
        <f>8.2081 * CHOOSE(CONTROL!$C$15, $D$11, 100%, $F$11)</f>
        <v>8.2081</v>
      </c>
      <c r="C247" s="8">
        <f>8.2189 * CHOOSE(CONTROL!$C$15, $D$11, 100%, $F$11)</f>
        <v>8.2188999999999997</v>
      </c>
      <c r="D247" s="8">
        <f>8.1998 * CHOOSE( CONTROL!$C$15, $D$11, 100%, $F$11)</f>
        <v>8.1997999999999998</v>
      </c>
      <c r="E247" s="12">
        <f>8.2056 * CHOOSE( CONTROL!$C$15, $D$11, 100%, $F$11)</f>
        <v>8.2056000000000004</v>
      </c>
      <c r="F247" s="4">
        <f>8.8692 * CHOOSE(CONTROL!$C$15, $D$11, 100%, $F$11)</f>
        <v>8.8691999999999993</v>
      </c>
      <c r="G247" s="8">
        <f>8.0169 * CHOOSE( CONTROL!$C$15, $D$11, 100%, $F$11)</f>
        <v>8.0168999999999997</v>
      </c>
      <c r="H247" s="4">
        <f>8.9055 * CHOOSE(CONTROL!$C$15, $D$11, 100%, $F$11)</f>
        <v>8.9055</v>
      </c>
      <c r="I247" s="8">
        <f>7.9874 * CHOOSE(CONTROL!$C$15, $D$11, 100%, $F$11)</f>
        <v>7.9874000000000001</v>
      </c>
      <c r="J247" s="4">
        <f>7.8661 * CHOOSE(CONTROL!$C$15, $D$11, 100%, $F$11)</f>
        <v>7.8661000000000003</v>
      </c>
      <c r="K247" s="4"/>
      <c r="L247" s="9">
        <v>29.306000000000001</v>
      </c>
      <c r="M247" s="9">
        <v>12.063700000000001</v>
      </c>
      <c r="N247" s="9">
        <v>4.9444999999999997</v>
      </c>
      <c r="O247" s="9">
        <v>0.37409999999999999</v>
      </c>
      <c r="P247" s="9">
        <v>1.2927</v>
      </c>
      <c r="Q247" s="9">
        <v>30.7105</v>
      </c>
      <c r="R247" s="9"/>
      <c r="S247" s="11"/>
    </row>
    <row r="248" spans="1:19" ht="15.75">
      <c r="A248" s="13">
        <v>49035</v>
      </c>
      <c r="B248" s="8">
        <f>8.3326 * CHOOSE(CONTROL!$C$15, $D$11, 100%, $F$11)</f>
        <v>8.3325999999999993</v>
      </c>
      <c r="C248" s="8">
        <f>8.3434 * CHOOSE(CONTROL!$C$15, $D$11, 100%, $F$11)</f>
        <v>8.3434000000000008</v>
      </c>
      <c r="D248" s="8">
        <f>8.3781 * CHOOSE( CONTROL!$C$15, $D$11, 100%, $F$11)</f>
        <v>8.3780999999999999</v>
      </c>
      <c r="E248" s="12">
        <f>8.3654 * CHOOSE( CONTROL!$C$15, $D$11, 100%, $F$11)</f>
        <v>8.3653999999999993</v>
      </c>
      <c r="F248" s="4">
        <f>9.0614 * CHOOSE(CONTROL!$C$15, $D$11, 100%, $F$11)</f>
        <v>9.0614000000000008</v>
      </c>
      <c r="G248" s="8">
        <f>8.1414 * CHOOSE( CONTROL!$C$15, $D$11, 100%, $F$11)</f>
        <v>8.1414000000000009</v>
      </c>
      <c r="H248" s="4">
        <f>9.0935 * CHOOSE(CONTROL!$C$15, $D$11, 100%, $F$11)</f>
        <v>9.0935000000000006</v>
      </c>
      <c r="I248" s="8">
        <f>8.1023 * CHOOSE(CONTROL!$C$15, $D$11, 100%, $F$11)</f>
        <v>8.1022999999999996</v>
      </c>
      <c r="J248" s="4">
        <f>7.9857 * CHOOSE(CONTROL!$C$15, $D$11, 100%, $F$11)</f>
        <v>7.9856999999999996</v>
      </c>
      <c r="K248" s="4"/>
      <c r="L248" s="9">
        <v>30.092199999999998</v>
      </c>
      <c r="M248" s="9">
        <v>11.6745</v>
      </c>
      <c r="N248" s="9">
        <v>4.7850000000000001</v>
      </c>
      <c r="O248" s="9">
        <v>0.36199999999999999</v>
      </c>
      <c r="P248" s="9">
        <v>1.1791</v>
      </c>
      <c r="Q248" s="9">
        <v>29.719799999999999</v>
      </c>
      <c r="R248" s="9"/>
      <c r="S248" s="11"/>
    </row>
    <row r="249" spans="1:19" ht="15.75">
      <c r="A249" s="13">
        <v>49065</v>
      </c>
      <c r="B249" s="8">
        <f>CHOOSE( CONTROL!$C$32, 8.5564, 8.5541) * CHOOSE(CONTROL!$C$15, $D$11, 100%, $F$11)</f>
        <v>8.5564</v>
      </c>
      <c r="C249" s="8">
        <f>CHOOSE( CONTROL!$C$32, 8.567, 8.5647) * CHOOSE(CONTROL!$C$15, $D$11, 100%, $F$11)</f>
        <v>8.5670000000000002</v>
      </c>
      <c r="D249" s="8">
        <f>CHOOSE( CONTROL!$C$32, 8.6008, 8.5985) * CHOOSE( CONTROL!$C$15, $D$11, 100%, $F$11)</f>
        <v>8.6007999999999996</v>
      </c>
      <c r="E249" s="12">
        <f>CHOOSE( CONTROL!$C$32, 8.5869, 8.5846) * CHOOSE( CONTROL!$C$15, $D$11, 100%, $F$11)</f>
        <v>8.5869</v>
      </c>
      <c r="F249" s="4">
        <f>CHOOSE( CONTROL!$C$32, 9.2854, 9.2831) * CHOOSE(CONTROL!$C$15, $D$11, 100%, $F$11)</f>
        <v>9.2853999999999992</v>
      </c>
      <c r="G249" s="8">
        <f>CHOOSE( CONTROL!$C$32, 8.3608, 8.3586) * CHOOSE( CONTROL!$C$15, $D$11, 100%, $F$11)</f>
        <v>8.3607999999999993</v>
      </c>
      <c r="H249" s="4">
        <f>CHOOSE( CONTROL!$C$32, 9.3124, 9.3102) * CHOOSE(CONTROL!$C$15, $D$11, 100%, $F$11)</f>
        <v>9.3124000000000002</v>
      </c>
      <c r="I249" s="8">
        <f>CHOOSE( CONTROL!$C$32, 8.3175, 8.3153) * CHOOSE(CONTROL!$C$15, $D$11, 100%, $F$11)</f>
        <v>8.3175000000000008</v>
      </c>
      <c r="J249" s="4">
        <f>CHOOSE( CONTROL!$C$32, 8.2007, 8.1985) * CHOOSE(CONTROL!$C$15, $D$11, 100%, $F$11)</f>
        <v>8.2006999999999994</v>
      </c>
      <c r="K249" s="4"/>
      <c r="L249" s="9">
        <v>30.7165</v>
      </c>
      <c r="M249" s="9">
        <v>12.063700000000001</v>
      </c>
      <c r="N249" s="9">
        <v>4.9444999999999997</v>
      </c>
      <c r="O249" s="9">
        <v>0.37409999999999999</v>
      </c>
      <c r="P249" s="9">
        <v>1.2183999999999999</v>
      </c>
      <c r="Q249" s="9">
        <v>30.7105</v>
      </c>
      <c r="R249" s="9"/>
      <c r="S249" s="11"/>
    </row>
    <row r="250" spans="1:19" ht="15.75">
      <c r="A250" s="13">
        <v>49096</v>
      </c>
      <c r="B250" s="8">
        <f>CHOOSE( CONTROL!$C$32, 8.4191, 8.4168) * CHOOSE(CONTROL!$C$15, $D$11, 100%, $F$11)</f>
        <v>8.4191000000000003</v>
      </c>
      <c r="C250" s="8">
        <f>CHOOSE( CONTROL!$C$32, 8.4297, 8.4274) * CHOOSE(CONTROL!$C$15, $D$11, 100%, $F$11)</f>
        <v>8.4297000000000004</v>
      </c>
      <c r="D250" s="8">
        <f>CHOOSE( CONTROL!$C$32, 8.4637, 8.4614) * CHOOSE( CONTROL!$C$15, $D$11, 100%, $F$11)</f>
        <v>8.4636999999999993</v>
      </c>
      <c r="E250" s="12">
        <f>CHOOSE( CONTROL!$C$32, 8.4498, 8.4475) * CHOOSE( CONTROL!$C$15, $D$11, 100%, $F$11)</f>
        <v>8.4497999999999998</v>
      </c>
      <c r="F250" s="4">
        <f>CHOOSE( CONTROL!$C$32, 9.1481, 9.1458) * CHOOSE(CONTROL!$C$15, $D$11, 100%, $F$11)</f>
        <v>9.1480999999999995</v>
      </c>
      <c r="G250" s="8">
        <f>CHOOSE( CONTROL!$C$32, 8.2269, 8.2246) * CHOOSE( CONTROL!$C$15, $D$11, 100%, $F$11)</f>
        <v>8.2269000000000005</v>
      </c>
      <c r="H250" s="4">
        <f>CHOOSE( CONTROL!$C$32, 9.1782, 9.1759) * CHOOSE(CONTROL!$C$15, $D$11, 100%, $F$11)</f>
        <v>9.1782000000000004</v>
      </c>
      <c r="I250" s="8">
        <f>CHOOSE( CONTROL!$C$32, 8.1863, 8.1841) * CHOOSE(CONTROL!$C$15, $D$11, 100%, $F$11)</f>
        <v>8.1862999999999992</v>
      </c>
      <c r="J250" s="4">
        <f>CHOOSE( CONTROL!$C$32, 8.0689, 8.0667) * CHOOSE(CONTROL!$C$15, $D$11, 100%, $F$11)</f>
        <v>8.0688999999999993</v>
      </c>
      <c r="K250" s="4"/>
      <c r="L250" s="9">
        <v>29.7257</v>
      </c>
      <c r="M250" s="9">
        <v>11.6745</v>
      </c>
      <c r="N250" s="9">
        <v>4.7850000000000001</v>
      </c>
      <c r="O250" s="9">
        <v>0.36199999999999999</v>
      </c>
      <c r="P250" s="9">
        <v>1.1791</v>
      </c>
      <c r="Q250" s="9">
        <v>29.719799999999999</v>
      </c>
      <c r="R250" s="9"/>
      <c r="S250" s="11"/>
    </row>
    <row r="251" spans="1:19" ht="15.75">
      <c r="A251" s="13">
        <v>49126</v>
      </c>
      <c r="B251" s="8">
        <f>CHOOSE( CONTROL!$C$32, 8.7807, 8.7784) * CHOOSE(CONTROL!$C$15, $D$11, 100%, $F$11)</f>
        <v>8.7806999999999995</v>
      </c>
      <c r="C251" s="8">
        <f>CHOOSE( CONTROL!$C$32, 8.7912, 8.7889) * CHOOSE(CONTROL!$C$15, $D$11, 100%, $F$11)</f>
        <v>8.7911999999999999</v>
      </c>
      <c r="D251" s="8">
        <f>CHOOSE( CONTROL!$C$32, 8.8254, 8.8231) * CHOOSE( CONTROL!$C$15, $D$11, 100%, $F$11)</f>
        <v>8.8254000000000001</v>
      </c>
      <c r="E251" s="12">
        <f>CHOOSE( CONTROL!$C$32, 8.8114, 8.8091) * CHOOSE( CONTROL!$C$15, $D$11, 100%, $F$11)</f>
        <v>8.8114000000000008</v>
      </c>
      <c r="F251" s="4">
        <f>CHOOSE( CONTROL!$C$32, 9.5096, 9.5073) * CHOOSE(CONTROL!$C$15, $D$11, 100%, $F$11)</f>
        <v>9.5096000000000007</v>
      </c>
      <c r="G251" s="8">
        <f>CHOOSE( CONTROL!$C$32, 8.5806, 8.5784) * CHOOSE( CONTROL!$C$15, $D$11, 100%, $F$11)</f>
        <v>8.5806000000000004</v>
      </c>
      <c r="H251" s="4">
        <f>CHOOSE( CONTROL!$C$32, 9.5317, 9.5294) * CHOOSE(CONTROL!$C$15, $D$11, 100%, $F$11)</f>
        <v>9.5317000000000007</v>
      </c>
      <c r="I251" s="8">
        <f>CHOOSE( CONTROL!$C$32, 8.5346, 8.5324) * CHOOSE(CONTROL!$C$15, $D$11, 100%, $F$11)</f>
        <v>8.5345999999999993</v>
      </c>
      <c r="J251" s="4">
        <f>CHOOSE( CONTROL!$C$32, 8.416, 8.4138) * CHOOSE(CONTROL!$C$15, $D$11, 100%, $F$11)</f>
        <v>8.4160000000000004</v>
      </c>
      <c r="K251" s="4"/>
      <c r="L251" s="9">
        <v>30.7165</v>
      </c>
      <c r="M251" s="9">
        <v>12.063700000000001</v>
      </c>
      <c r="N251" s="9">
        <v>4.9444999999999997</v>
      </c>
      <c r="O251" s="9">
        <v>0.37409999999999999</v>
      </c>
      <c r="P251" s="9">
        <v>1.2183999999999999</v>
      </c>
      <c r="Q251" s="9">
        <v>30.7105</v>
      </c>
      <c r="R251" s="9"/>
      <c r="S251" s="11"/>
    </row>
    <row r="252" spans="1:19" ht="15.75">
      <c r="A252" s="13">
        <v>49157</v>
      </c>
      <c r="B252" s="8">
        <f>CHOOSE( CONTROL!$C$32, 8.1042, 8.1019) * CHOOSE(CONTROL!$C$15, $D$11, 100%, $F$11)</f>
        <v>8.1042000000000005</v>
      </c>
      <c r="C252" s="8">
        <f>CHOOSE( CONTROL!$C$32, 8.1148, 8.1125) * CHOOSE(CONTROL!$C$15, $D$11, 100%, $F$11)</f>
        <v>8.1148000000000007</v>
      </c>
      <c r="D252" s="8">
        <f>CHOOSE( CONTROL!$C$32, 8.149, 8.1467) * CHOOSE( CONTROL!$C$15, $D$11, 100%, $F$11)</f>
        <v>8.1489999999999991</v>
      </c>
      <c r="E252" s="12">
        <f>CHOOSE( CONTROL!$C$32, 8.135, 8.1327) * CHOOSE( CONTROL!$C$15, $D$11, 100%, $F$11)</f>
        <v>8.1349999999999998</v>
      </c>
      <c r="F252" s="4">
        <f>CHOOSE( CONTROL!$C$32, 8.8331, 8.8308) * CHOOSE(CONTROL!$C$15, $D$11, 100%, $F$11)</f>
        <v>8.8331</v>
      </c>
      <c r="G252" s="8">
        <f>CHOOSE( CONTROL!$C$32, 7.9193, 7.9171) * CHOOSE( CONTROL!$C$15, $D$11, 100%, $F$11)</f>
        <v>7.9192999999999998</v>
      </c>
      <c r="H252" s="4">
        <f>CHOOSE( CONTROL!$C$32, 8.8703, 8.868) * CHOOSE(CONTROL!$C$15, $D$11, 100%, $F$11)</f>
        <v>8.8703000000000003</v>
      </c>
      <c r="I252" s="8">
        <f>CHOOSE( CONTROL!$C$32, 7.8851, 7.8829) * CHOOSE(CONTROL!$C$15, $D$11, 100%, $F$11)</f>
        <v>7.8851000000000004</v>
      </c>
      <c r="J252" s="4">
        <f>CHOOSE( CONTROL!$C$32, 7.7665, 7.7643) * CHOOSE(CONTROL!$C$15, $D$11, 100%, $F$11)</f>
        <v>7.7664999999999997</v>
      </c>
      <c r="K252" s="4"/>
      <c r="L252" s="9">
        <v>30.7165</v>
      </c>
      <c r="M252" s="9">
        <v>12.063700000000001</v>
      </c>
      <c r="N252" s="9">
        <v>4.9444999999999997</v>
      </c>
      <c r="O252" s="9">
        <v>0.37409999999999999</v>
      </c>
      <c r="P252" s="9">
        <v>1.2183999999999999</v>
      </c>
      <c r="Q252" s="9">
        <v>30.7105</v>
      </c>
      <c r="R252" s="9"/>
      <c r="S252" s="11"/>
    </row>
    <row r="253" spans="1:19" ht="15.75">
      <c r="A253" s="13">
        <v>49188</v>
      </c>
      <c r="B253" s="8">
        <f>CHOOSE( CONTROL!$C$32, 7.9348, 7.9325) * CHOOSE(CONTROL!$C$15, $D$11, 100%, $F$11)</f>
        <v>7.9348000000000001</v>
      </c>
      <c r="C253" s="8">
        <f>CHOOSE( CONTROL!$C$32, 7.9454, 7.9431) * CHOOSE(CONTROL!$C$15, $D$11, 100%, $F$11)</f>
        <v>7.9454000000000002</v>
      </c>
      <c r="D253" s="8">
        <f>CHOOSE( CONTROL!$C$32, 7.9796, 7.9773) * CHOOSE( CONTROL!$C$15, $D$11, 100%, $F$11)</f>
        <v>7.9795999999999996</v>
      </c>
      <c r="E253" s="12">
        <f>CHOOSE( CONTROL!$C$32, 7.9656, 7.9633) * CHOOSE( CONTROL!$C$15, $D$11, 100%, $F$11)</f>
        <v>7.9656000000000002</v>
      </c>
      <c r="F253" s="4">
        <f>CHOOSE( CONTROL!$C$32, 8.6637, 8.6614) * CHOOSE(CONTROL!$C$15, $D$11, 100%, $F$11)</f>
        <v>8.6637000000000004</v>
      </c>
      <c r="G253" s="8">
        <f>CHOOSE( CONTROL!$C$32, 7.7537, 7.7514) * CHOOSE( CONTROL!$C$15, $D$11, 100%, $F$11)</f>
        <v>7.7537000000000003</v>
      </c>
      <c r="H253" s="4">
        <f>CHOOSE( CONTROL!$C$32, 8.7047, 8.7024) * CHOOSE(CONTROL!$C$15, $D$11, 100%, $F$11)</f>
        <v>8.7047000000000008</v>
      </c>
      <c r="I253" s="8">
        <f>CHOOSE( CONTROL!$C$32, 7.7222, 7.72) * CHOOSE(CONTROL!$C$15, $D$11, 100%, $F$11)</f>
        <v>7.7222</v>
      </c>
      <c r="J253" s="4">
        <f>CHOOSE( CONTROL!$C$32, 7.6039, 7.6017) * CHOOSE(CONTROL!$C$15, $D$11, 100%, $F$11)</f>
        <v>7.6039000000000003</v>
      </c>
      <c r="K253" s="4"/>
      <c r="L253" s="9">
        <v>29.7257</v>
      </c>
      <c r="M253" s="9">
        <v>11.6745</v>
      </c>
      <c r="N253" s="9">
        <v>4.7850000000000001</v>
      </c>
      <c r="O253" s="9">
        <v>0.36199999999999999</v>
      </c>
      <c r="P253" s="9">
        <v>1.1791</v>
      </c>
      <c r="Q253" s="9">
        <v>29.719799999999999</v>
      </c>
      <c r="R253" s="9"/>
      <c r="S253" s="11"/>
    </row>
    <row r="254" spans="1:19" ht="15.75">
      <c r="A254" s="13">
        <v>49218</v>
      </c>
      <c r="B254" s="8">
        <f>8.2843 * CHOOSE(CONTROL!$C$15, $D$11, 100%, $F$11)</f>
        <v>8.2843</v>
      </c>
      <c r="C254" s="8">
        <f>8.2951 * CHOOSE(CONTROL!$C$15, $D$11, 100%, $F$11)</f>
        <v>8.2950999999999997</v>
      </c>
      <c r="D254" s="8">
        <f>8.3305 * CHOOSE( CONTROL!$C$15, $D$11, 100%, $F$11)</f>
        <v>8.3305000000000007</v>
      </c>
      <c r="E254" s="12">
        <f>8.3177 * CHOOSE( CONTROL!$C$15, $D$11, 100%, $F$11)</f>
        <v>8.3177000000000003</v>
      </c>
      <c r="F254" s="4">
        <f>9.0132 * CHOOSE(CONTROL!$C$15, $D$11, 100%, $F$11)</f>
        <v>9.0131999999999994</v>
      </c>
      <c r="G254" s="8">
        <f>8.0951 * CHOOSE( CONTROL!$C$15, $D$11, 100%, $F$11)</f>
        <v>8.0951000000000004</v>
      </c>
      <c r="H254" s="4">
        <f>9.0463 * CHOOSE(CONTROL!$C$15, $D$11, 100%, $F$11)</f>
        <v>9.0463000000000005</v>
      </c>
      <c r="I254" s="8">
        <f>8.0588 * CHOOSE(CONTROL!$C$15, $D$11, 100%, $F$11)</f>
        <v>8.0587999999999997</v>
      </c>
      <c r="J254" s="4">
        <f>7.9393 * CHOOSE(CONTROL!$C$15, $D$11, 100%, $F$11)</f>
        <v>7.9393000000000002</v>
      </c>
      <c r="K254" s="4"/>
      <c r="L254" s="9">
        <v>31.095300000000002</v>
      </c>
      <c r="M254" s="9">
        <v>12.063700000000001</v>
      </c>
      <c r="N254" s="9">
        <v>4.9444999999999997</v>
      </c>
      <c r="O254" s="9">
        <v>0.37409999999999999</v>
      </c>
      <c r="P254" s="9">
        <v>1.2183999999999999</v>
      </c>
      <c r="Q254" s="9">
        <v>30.7105</v>
      </c>
      <c r="R254" s="9"/>
      <c r="S254" s="11"/>
    </row>
    <row r="255" spans="1:19" ht="15.75">
      <c r="A255" s="13">
        <v>49249</v>
      </c>
      <c r="B255" s="8">
        <f>8.9336 * CHOOSE(CONTROL!$C$15, $D$11, 100%, $F$11)</f>
        <v>8.9336000000000002</v>
      </c>
      <c r="C255" s="8">
        <f>8.9443 * CHOOSE(CONTROL!$C$15, $D$11, 100%, $F$11)</f>
        <v>8.9443000000000001</v>
      </c>
      <c r="D255" s="8">
        <f>8.9204 * CHOOSE( CONTROL!$C$15, $D$11, 100%, $F$11)</f>
        <v>8.9204000000000008</v>
      </c>
      <c r="E255" s="12">
        <f>8.928 * CHOOSE( CONTROL!$C$15, $D$11, 100%, $F$11)</f>
        <v>8.9280000000000008</v>
      </c>
      <c r="F255" s="4">
        <f>9.5947 * CHOOSE(CONTROL!$C$15, $D$11, 100%, $F$11)</f>
        <v>9.5946999999999996</v>
      </c>
      <c r="G255" s="8">
        <f>8.7298 * CHOOSE( CONTROL!$C$15, $D$11, 100%, $F$11)</f>
        <v>8.7297999999999991</v>
      </c>
      <c r="H255" s="4">
        <f>9.6148 * CHOOSE(CONTROL!$C$15, $D$11, 100%, $F$11)</f>
        <v>9.6148000000000007</v>
      </c>
      <c r="I255" s="8">
        <f>8.7257 * CHOOSE(CONTROL!$C$15, $D$11, 100%, $F$11)</f>
        <v>8.7256999999999998</v>
      </c>
      <c r="J255" s="4">
        <f>8.5627 * CHOOSE(CONTROL!$C$15, $D$11, 100%, $F$11)</f>
        <v>8.5626999999999995</v>
      </c>
      <c r="K255" s="4"/>
      <c r="L255" s="9">
        <v>28.360600000000002</v>
      </c>
      <c r="M255" s="9">
        <v>11.6745</v>
      </c>
      <c r="N255" s="9">
        <v>4.7850000000000001</v>
      </c>
      <c r="O255" s="9">
        <v>0.36199999999999999</v>
      </c>
      <c r="P255" s="9">
        <v>1.2509999999999999</v>
      </c>
      <c r="Q255" s="9">
        <v>29.719799999999999</v>
      </c>
      <c r="R255" s="9"/>
      <c r="S255" s="11"/>
    </row>
    <row r="256" spans="1:19" ht="15.75">
      <c r="A256" s="13">
        <v>49279</v>
      </c>
      <c r="B256" s="8">
        <f>8.9174 * CHOOSE(CONTROL!$C$15, $D$11, 100%, $F$11)</f>
        <v>8.9174000000000007</v>
      </c>
      <c r="C256" s="8">
        <f>8.9281 * CHOOSE(CONTROL!$C$15, $D$11, 100%, $F$11)</f>
        <v>8.9281000000000006</v>
      </c>
      <c r="D256" s="8">
        <f>8.9058 * CHOOSE( CONTROL!$C$15, $D$11, 100%, $F$11)</f>
        <v>8.9057999999999993</v>
      </c>
      <c r="E256" s="12">
        <f>8.9128 * CHOOSE( CONTROL!$C$15, $D$11, 100%, $F$11)</f>
        <v>8.9128000000000007</v>
      </c>
      <c r="F256" s="4">
        <f>9.5785 * CHOOSE(CONTROL!$C$15, $D$11, 100%, $F$11)</f>
        <v>9.5785</v>
      </c>
      <c r="G256" s="8">
        <f>8.7152 * CHOOSE( CONTROL!$C$15, $D$11, 100%, $F$11)</f>
        <v>8.7151999999999994</v>
      </c>
      <c r="H256" s="4">
        <f>9.599 * CHOOSE(CONTROL!$C$15, $D$11, 100%, $F$11)</f>
        <v>9.5990000000000002</v>
      </c>
      <c r="I256" s="8">
        <f>8.7153 * CHOOSE(CONTROL!$C$15, $D$11, 100%, $F$11)</f>
        <v>8.7152999999999992</v>
      </c>
      <c r="J256" s="4">
        <f>8.5471 * CHOOSE(CONTROL!$C$15, $D$11, 100%, $F$11)</f>
        <v>8.5471000000000004</v>
      </c>
      <c r="K256" s="4"/>
      <c r="L256" s="9">
        <v>29.306000000000001</v>
      </c>
      <c r="M256" s="9">
        <v>12.063700000000001</v>
      </c>
      <c r="N256" s="9">
        <v>4.9444999999999997</v>
      </c>
      <c r="O256" s="9">
        <v>0.37409999999999999</v>
      </c>
      <c r="P256" s="9">
        <v>1.2927</v>
      </c>
      <c r="Q256" s="9">
        <v>30.7105</v>
      </c>
      <c r="R256" s="9"/>
      <c r="S256" s="11"/>
    </row>
    <row r="257" spans="1:19" ht="15.75">
      <c r="A257" s="13">
        <v>49310</v>
      </c>
      <c r="B257" s="8">
        <f>9.1439 * CHOOSE(CONTROL!$C$15, $D$11, 100%, $F$11)</f>
        <v>9.1439000000000004</v>
      </c>
      <c r="C257" s="8">
        <f>9.1547 * CHOOSE(CONTROL!$C$15, $D$11, 100%, $F$11)</f>
        <v>9.1547000000000001</v>
      </c>
      <c r="D257" s="8">
        <f>9.1363 * CHOOSE( CONTROL!$C$15, $D$11, 100%, $F$11)</f>
        <v>9.1363000000000003</v>
      </c>
      <c r="E257" s="12">
        <f>9.1419 * CHOOSE( CONTROL!$C$15, $D$11, 100%, $F$11)</f>
        <v>9.1418999999999997</v>
      </c>
      <c r="F257" s="4">
        <f>9.805 * CHOOSE(CONTROL!$C$15, $D$11, 100%, $F$11)</f>
        <v>9.8049999999999997</v>
      </c>
      <c r="G257" s="8">
        <f>8.9323 * CHOOSE( CONTROL!$C$15, $D$11, 100%, $F$11)</f>
        <v>8.9322999999999997</v>
      </c>
      <c r="H257" s="4">
        <f>9.8205 * CHOOSE(CONTROL!$C$15, $D$11, 100%, $F$11)</f>
        <v>9.8204999999999991</v>
      </c>
      <c r="I257" s="8">
        <f>8.8883 * CHOOSE(CONTROL!$C$15, $D$11, 100%, $F$11)</f>
        <v>8.8882999999999992</v>
      </c>
      <c r="J257" s="4">
        <f>8.7646 * CHOOSE(CONTROL!$C$15, $D$11, 100%, $F$11)</f>
        <v>8.7645999999999997</v>
      </c>
      <c r="K257" s="4"/>
      <c r="L257" s="9">
        <v>29.306000000000001</v>
      </c>
      <c r="M257" s="9">
        <v>12.063700000000001</v>
      </c>
      <c r="N257" s="9">
        <v>4.9444999999999997</v>
      </c>
      <c r="O257" s="9">
        <v>0.37409999999999999</v>
      </c>
      <c r="P257" s="9">
        <v>1.2927</v>
      </c>
      <c r="Q257" s="9">
        <v>30.645399999999999</v>
      </c>
      <c r="R257" s="9"/>
      <c r="S257" s="11"/>
    </row>
    <row r="258" spans="1:19" ht="15.75">
      <c r="A258" s="13">
        <v>49341</v>
      </c>
      <c r="B258" s="8">
        <f>8.5537 * CHOOSE(CONTROL!$C$15, $D$11, 100%, $F$11)</f>
        <v>8.5536999999999992</v>
      </c>
      <c r="C258" s="8">
        <f>8.5645 * CHOOSE(CONTROL!$C$15, $D$11, 100%, $F$11)</f>
        <v>8.5645000000000007</v>
      </c>
      <c r="D258" s="8">
        <f>8.5459 * CHOOSE( CONTROL!$C$15, $D$11, 100%, $F$11)</f>
        <v>8.5458999999999996</v>
      </c>
      <c r="E258" s="12">
        <f>8.5516 * CHOOSE( CONTROL!$C$15, $D$11, 100%, $F$11)</f>
        <v>8.5516000000000005</v>
      </c>
      <c r="F258" s="4">
        <f>9.2148 * CHOOSE(CONTROL!$C$15, $D$11, 100%, $F$11)</f>
        <v>9.2148000000000003</v>
      </c>
      <c r="G258" s="8">
        <f>8.3552 * CHOOSE( CONTROL!$C$15, $D$11, 100%, $F$11)</f>
        <v>8.3552</v>
      </c>
      <c r="H258" s="4">
        <f>9.2435 * CHOOSE(CONTROL!$C$15, $D$11, 100%, $F$11)</f>
        <v>9.2434999999999992</v>
      </c>
      <c r="I258" s="8">
        <f>8.3209 * CHOOSE(CONTROL!$C$15, $D$11, 100%, $F$11)</f>
        <v>8.3209</v>
      </c>
      <c r="J258" s="4">
        <f>8.198 * CHOOSE(CONTROL!$C$15, $D$11, 100%, $F$11)</f>
        <v>8.1980000000000004</v>
      </c>
      <c r="K258" s="4"/>
      <c r="L258" s="9">
        <v>26.469899999999999</v>
      </c>
      <c r="M258" s="9">
        <v>10.8962</v>
      </c>
      <c r="N258" s="9">
        <v>4.4660000000000002</v>
      </c>
      <c r="O258" s="9">
        <v>0.33789999999999998</v>
      </c>
      <c r="P258" s="9">
        <v>1.1676</v>
      </c>
      <c r="Q258" s="9">
        <v>27.6797</v>
      </c>
      <c r="R258" s="9"/>
      <c r="S258" s="11"/>
    </row>
    <row r="259" spans="1:19" ht="15.75">
      <c r="A259" s="13">
        <v>49369</v>
      </c>
      <c r="B259" s="8">
        <f>8.372 * CHOOSE(CONTROL!$C$15, $D$11, 100%, $F$11)</f>
        <v>8.3719999999999999</v>
      </c>
      <c r="C259" s="8">
        <f>8.3827 * CHOOSE(CONTROL!$C$15, $D$11, 100%, $F$11)</f>
        <v>8.3826999999999998</v>
      </c>
      <c r="D259" s="8">
        <f>8.3637 * CHOOSE( CONTROL!$C$15, $D$11, 100%, $F$11)</f>
        <v>8.3636999999999997</v>
      </c>
      <c r="E259" s="12">
        <f>8.3695 * CHOOSE( CONTROL!$C$15, $D$11, 100%, $F$11)</f>
        <v>8.3695000000000004</v>
      </c>
      <c r="F259" s="4">
        <f>9.0331 * CHOOSE(CONTROL!$C$15, $D$11, 100%, $F$11)</f>
        <v>9.0330999999999992</v>
      </c>
      <c r="G259" s="8">
        <f>8.1771 * CHOOSE( CONTROL!$C$15, $D$11, 100%, $F$11)</f>
        <v>8.1770999999999994</v>
      </c>
      <c r="H259" s="4">
        <f>9.0658 * CHOOSE(CONTROL!$C$15, $D$11, 100%, $F$11)</f>
        <v>9.0657999999999994</v>
      </c>
      <c r="I259" s="8">
        <f>8.1448 * CHOOSE(CONTROL!$C$15, $D$11, 100%, $F$11)</f>
        <v>8.1448</v>
      </c>
      <c r="J259" s="4">
        <f>8.0235 * CHOOSE(CONTROL!$C$15, $D$11, 100%, $F$11)</f>
        <v>8.0235000000000003</v>
      </c>
      <c r="K259" s="4"/>
      <c r="L259" s="9">
        <v>29.306000000000001</v>
      </c>
      <c r="M259" s="9">
        <v>12.063700000000001</v>
      </c>
      <c r="N259" s="9">
        <v>4.9444999999999997</v>
      </c>
      <c r="O259" s="9">
        <v>0.37409999999999999</v>
      </c>
      <c r="P259" s="9">
        <v>1.2927</v>
      </c>
      <c r="Q259" s="9">
        <v>30.645399999999999</v>
      </c>
      <c r="R259" s="9"/>
      <c r="S259" s="11"/>
    </row>
    <row r="260" spans="1:19" ht="15.75">
      <c r="A260" s="13">
        <v>49400</v>
      </c>
      <c r="B260" s="8">
        <f>8.4989 * CHOOSE(CONTROL!$C$15, $D$11, 100%, $F$11)</f>
        <v>8.4989000000000008</v>
      </c>
      <c r="C260" s="8">
        <f>8.5097 * CHOOSE(CONTROL!$C$15, $D$11, 100%, $F$11)</f>
        <v>8.5097000000000005</v>
      </c>
      <c r="D260" s="8">
        <f>8.5445 * CHOOSE( CONTROL!$C$15, $D$11, 100%, $F$11)</f>
        <v>8.5444999999999993</v>
      </c>
      <c r="E260" s="12">
        <f>8.5318 * CHOOSE( CONTROL!$C$15, $D$11, 100%, $F$11)</f>
        <v>8.5318000000000005</v>
      </c>
      <c r="F260" s="4">
        <f>9.2278 * CHOOSE(CONTROL!$C$15, $D$11, 100%, $F$11)</f>
        <v>9.2278000000000002</v>
      </c>
      <c r="G260" s="8">
        <f>8.304 * CHOOSE( CONTROL!$C$15, $D$11, 100%, $F$11)</f>
        <v>8.3040000000000003</v>
      </c>
      <c r="H260" s="4">
        <f>9.2561 * CHOOSE(CONTROL!$C$15, $D$11, 100%, $F$11)</f>
        <v>9.2561</v>
      </c>
      <c r="I260" s="8">
        <f>8.2621 * CHOOSE(CONTROL!$C$15, $D$11, 100%, $F$11)</f>
        <v>8.2621000000000002</v>
      </c>
      <c r="J260" s="4">
        <f>8.1454 * CHOOSE(CONTROL!$C$15, $D$11, 100%, $F$11)</f>
        <v>8.1454000000000004</v>
      </c>
      <c r="K260" s="4"/>
      <c r="L260" s="9">
        <v>30.092199999999998</v>
      </c>
      <c r="M260" s="9">
        <v>11.6745</v>
      </c>
      <c r="N260" s="9">
        <v>4.7850000000000001</v>
      </c>
      <c r="O260" s="9">
        <v>0.36199999999999999</v>
      </c>
      <c r="P260" s="9">
        <v>1.1791</v>
      </c>
      <c r="Q260" s="9">
        <v>29.6568</v>
      </c>
      <c r="R260" s="9"/>
      <c r="S260" s="11"/>
    </row>
    <row r="261" spans="1:19" ht="15.75">
      <c r="A261" s="13">
        <v>49430</v>
      </c>
      <c r="B261" s="8">
        <f>CHOOSE( CONTROL!$C$32, 8.7272, 8.7249) * CHOOSE(CONTROL!$C$15, $D$11, 100%, $F$11)</f>
        <v>8.7271999999999998</v>
      </c>
      <c r="C261" s="8">
        <f>CHOOSE( CONTROL!$C$32, 8.7378, 8.7355) * CHOOSE(CONTROL!$C$15, $D$11, 100%, $F$11)</f>
        <v>8.7378</v>
      </c>
      <c r="D261" s="8">
        <f>CHOOSE( CONTROL!$C$32, 8.7716, 8.7693) * CHOOSE( CONTROL!$C$15, $D$11, 100%, $F$11)</f>
        <v>8.7715999999999994</v>
      </c>
      <c r="E261" s="12">
        <f>CHOOSE( CONTROL!$C$32, 8.7577, 8.7554) * CHOOSE( CONTROL!$C$15, $D$11, 100%, $F$11)</f>
        <v>8.7576999999999998</v>
      </c>
      <c r="F261" s="4">
        <f>CHOOSE( CONTROL!$C$32, 9.4561, 9.4538) * CHOOSE(CONTROL!$C$15, $D$11, 100%, $F$11)</f>
        <v>9.4560999999999993</v>
      </c>
      <c r="G261" s="8">
        <f>CHOOSE( CONTROL!$C$32, 8.5278, 8.5256) * CHOOSE( CONTROL!$C$15, $D$11, 100%, $F$11)</f>
        <v>8.5277999999999992</v>
      </c>
      <c r="H261" s="4">
        <f>CHOOSE( CONTROL!$C$32, 9.4794, 9.4771) * CHOOSE(CONTROL!$C$15, $D$11, 100%, $F$11)</f>
        <v>9.4794</v>
      </c>
      <c r="I261" s="8">
        <f>CHOOSE( CONTROL!$C$32, 8.4815, 8.4793) * CHOOSE(CONTROL!$C$15, $D$11, 100%, $F$11)</f>
        <v>8.4815000000000005</v>
      </c>
      <c r="J261" s="4">
        <f>CHOOSE( CONTROL!$C$32, 8.3647, 8.3624) * CHOOSE(CONTROL!$C$15, $D$11, 100%, $F$11)</f>
        <v>8.3646999999999991</v>
      </c>
      <c r="K261" s="4"/>
      <c r="L261" s="9">
        <v>30.7165</v>
      </c>
      <c r="M261" s="9">
        <v>12.063700000000001</v>
      </c>
      <c r="N261" s="9">
        <v>4.9444999999999997</v>
      </c>
      <c r="O261" s="9">
        <v>0.37409999999999999</v>
      </c>
      <c r="P261" s="9">
        <v>1.2183999999999999</v>
      </c>
      <c r="Q261" s="9">
        <v>30.645399999999999</v>
      </c>
      <c r="R261" s="9"/>
      <c r="S261" s="11"/>
    </row>
    <row r="262" spans="1:19" ht="15.75">
      <c r="A262" s="14">
        <v>49461</v>
      </c>
      <c r="B262" s="8">
        <f>CHOOSE( CONTROL!$C$32, 8.5872, 8.5849) * CHOOSE(CONTROL!$C$15, $D$11, 100%, $F$11)</f>
        <v>8.5871999999999993</v>
      </c>
      <c r="C262" s="8">
        <f>CHOOSE( CONTROL!$C$32, 8.5977, 8.5954) * CHOOSE(CONTROL!$C$15, $D$11, 100%, $F$11)</f>
        <v>8.5976999999999997</v>
      </c>
      <c r="D262" s="8">
        <f>CHOOSE( CONTROL!$C$32, 8.6317, 8.6294) * CHOOSE( CONTROL!$C$15, $D$11, 100%, $F$11)</f>
        <v>8.6317000000000004</v>
      </c>
      <c r="E262" s="12">
        <f>CHOOSE( CONTROL!$C$32, 8.6178, 8.6155) * CHOOSE( CONTROL!$C$15, $D$11, 100%, $F$11)</f>
        <v>8.6178000000000008</v>
      </c>
      <c r="F262" s="4">
        <f>CHOOSE( CONTROL!$C$32, 9.3161, 9.3138) * CHOOSE(CONTROL!$C$15, $D$11, 100%, $F$11)</f>
        <v>9.3161000000000005</v>
      </c>
      <c r="G262" s="8">
        <f>CHOOSE( CONTROL!$C$32, 8.3911, 8.3889) * CHOOSE( CONTROL!$C$15, $D$11, 100%, $F$11)</f>
        <v>8.3910999999999998</v>
      </c>
      <c r="H262" s="4">
        <f>CHOOSE( CONTROL!$C$32, 9.3425, 9.3402) * CHOOSE(CONTROL!$C$15, $D$11, 100%, $F$11)</f>
        <v>9.3424999999999994</v>
      </c>
      <c r="I262" s="8">
        <f>CHOOSE( CONTROL!$C$32, 8.3478, 8.3456) * CHOOSE(CONTROL!$C$15, $D$11, 100%, $F$11)</f>
        <v>8.3477999999999994</v>
      </c>
      <c r="J262" s="4">
        <f>CHOOSE( CONTROL!$C$32, 8.2302, 8.228) * CHOOSE(CONTROL!$C$15, $D$11, 100%, $F$11)</f>
        <v>8.2302</v>
      </c>
      <c r="K262" s="4"/>
      <c r="L262" s="9">
        <v>29.7257</v>
      </c>
      <c r="M262" s="9">
        <v>11.6745</v>
      </c>
      <c r="N262" s="9">
        <v>4.7850000000000001</v>
      </c>
      <c r="O262" s="9">
        <v>0.36199999999999999</v>
      </c>
      <c r="P262" s="9">
        <v>1.1791</v>
      </c>
      <c r="Q262" s="9">
        <v>29.6568</v>
      </c>
      <c r="R262" s="9"/>
      <c r="S262" s="11"/>
    </row>
    <row r="263" spans="1:19" ht="15.75">
      <c r="A263" s="14">
        <v>49491</v>
      </c>
      <c r="B263" s="8">
        <f>CHOOSE( CONTROL!$C$32, 8.9559, 8.9536) * CHOOSE(CONTROL!$C$15, $D$11, 100%, $F$11)</f>
        <v>8.9558999999999997</v>
      </c>
      <c r="C263" s="8">
        <f>CHOOSE( CONTROL!$C$32, 8.9665, 8.9642) * CHOOSE(CONTROL!$C$15, $D$11, 100%, $F$11)</f>
        <v>8.9664999999999999</v>
      </c>
      <c r="D263" s="8">
        <f>CHOOSE( CONTROL!$C$32, 9.0007, 8.9984) * CHOOSE( CONTROL!$C$15, $D$11, 100%, $F$11)</f>
        <v>9.0007000000000001</v>
      </c>
      <c r="E263" s="12">
        <f>CHOOSE( CONTROL!$C$32, 8.9867, 8.9844) * CHOOSE( CONTROL!$C$15, $D$11, 100%, $F$11)</f>
        <v>8.9867000000000008</v>
      </c>
      <c r="F263" s="4">
        <f>CHOOSE( CONTROL!$C$32, 9.6849, 9.6826) * CHOOSE(CONTROL!$C$15, $D$11, 100%, $F$11)</f>
        <v>9.6849000000000007</v>
      </c>
      <c r="G263" s="8">
        <f>CHOOSE( CONTROL!$C$32, 8.752, 8.7497) * CHOOSE( CONTROL!$C$15, $D$11, 100%, $F$11)</f>
        <v>8.7520000000000007</v>
      </c>
      <c r="H263" s="4">
        <f>CHOOSE( CONTROL!$C$32, 9.703, 9.7008) * CHOOSE(CONTROL!$C$15, $D$11, 100%, $F$11)</f>
        <v>9.7029999999999994</v>
      </c>
      <c r="I263" s="8">
        <f>CHOOSE( CONTROL!$C$32, 8.703, 8.7008) * CHOOSE(CONTROL!$C$15, $D$11, 100%, $F$11)</f>
        <v>8.7029999999999994</v>
      </c>
      <c r="J263" s="4">
        <f>CHOOSE( CONTROL!$C$32, 8.5843, 8.582) * CHOOSE(CONTROL!$C$15, $D$11, 100%, $F$11)</f>
        <v>8.5843000000000007</v>
      </c>
      <c r="K263" s="4"/>
      <c r="L263" s="9">
        <v>30.7165</v>
      </c>
      <c r="M263" s="9">
        <v>12.063700000000001</v>
      </c>
      <c r="N263" s="9">
        <v>4.9444999999999997</v>
      </c>
      <c r="O263" s="9">
        <v>0.37409999999999999</v>
      </c>
      <c r="P263" s="9">
        <v>1.2183999999999999</v>
      </c>
      <c r="Q263" s="9">
        <v>30.645399999999999</v>
      </c>
      <c r="R263" s="9"/>
      <c r="S263" s="11"/>
    </row>
    <row r="264" spans="1:19" ht="15.75">
      <c r="A264" s="14">
        <v>49522</v>
      </c>
      <c r="B264" s="8">
        <f>CHOOSE( CONTROL!$C$32, 8.2659, 8.2636) * CHOOSE(CONTROL!$C$15, $D$11, 100%, $F$11)</f>
        <v>8.2659000000000002</v>
      </c>
      <c r="C264" s="8">
        <f>CHOOSE( CONTROL!$C$32, 8.2765, 8.2742) * CHOOSE(CONTROL!$C$15, $D$11, 100%, $F$11)</f>
        <v>8.2765000000000004</v>
      </c>
      <c r="D264" s="8">
        <f>CHOOSE( CONTROL!$C$32, 8.3108, 8.3085) * CHOOSE( CONTROL!$C$15, $D$11, 100%, $F$11)</f>
        <v>8.3108000000000004</v>
      </c>
      <c r="E264" s="12">
        <f>CHOOSE( CONTROL!$C$32, 8.2968, 8.2945) * CHOOSE( CONTROL!$C$15, $D$11, 100%, $F$11)</f>
        <v>8.2967999999999993</v>
      </c>
      <c r="F264" s="4">
        <f>CHOOSE( CONTROL!$C$32, 8.9949, 8.9926) * CHOOSE(CONTROL!$C$15, $D$11, 100%, $F$11)</f>
        <v>8.9948999999999995</v>
      </c>
      <c r="G264" s="8">
        <f>CHOOSE( CONTROL!$C$32, 8.0775, 8.0752) * CHOOSE( CONTROL!$C$15, $D$11, 100%, $F$11)</f>
        <v>8.0775000000000006</v>
      </c>
      <c r="H264" s="4">
        <f>CHOOSE( CONTROL!$C$32, 9.0284, 9.0262) * CHOOSE(CONTROL!$C$15, $D$11, 100%, $F$11)</f>
        <v>9.0283999999999995</v>
      </c>
      <c r="I264" s="8">
        <f>CHOOSE( CONTROL!$C$32, 8.0405, 8.0382) * CHOOSE(CONTROL!$C$15, $D$11, 100%, $F$11)</f>
        <v>8.0404999999999998</v>
      </c>
      <c r="J264" s="4">
        <f>CHOOSE( CONTROL!$C$32, 7.9218, 7.9196) * CHOOSE(CONTROL!$C$15, $D$11, 100%, $F$11)</f>
        <v>7.9218000000000002</v>
      </c>
      <c r="K264" s="4"/>
      <c r="L264" s="9">
        <v>30.7165</v>
      </c>
      <c r="M264" s="9">
        <v>12.063700000000001</v>
      </c>
      <c r="N264" s="9">
        <v>4.9444999999999997</v>
      </c>
      <c r="O264" s="9">
        <v>0.37409999999999999</v>
      </c>
      <c r="P264" s="9">
        <v>1.2183999999999999</v>
      </c>
      <c r="Q264" s="9">
        <v>30.645399999999999</v>
      </c>
      <c r="R264" s="9"/>
      <c r="S264" s="11"/>
    </row>
    <row r="265" spans="1:19" ht="15.75">
      <c r="A265" s="14">
        <v>49553</v>
      </c>
      <c r="B265" s="8">
        <f>CHOOSE( CONTROL!$C$32, 8.0931, 8.0908) * CHOOSE(CONTROL!$C$15, $D$11, 100%, $F$11)</f>
        <v>8.0930999999999997</v>
      </c>
      <c r="C265" s="8">
        <f>CHOOSE( CONTROL!$C$32, 8.1037, 8.1014) * CHOOSE(CONTROL!$C$15, $D$11, 100%, $F$11)</f>
        <v>8.1036999999999999</v>
      </c>
      <c r="D265" s="8">
        <f>CHOOSE( CONTROL!$C$32, 8.1379, 8.1356) * CHOOSE( CONTROL!$C$15, $D$11, 100%, $F$11)</f>
        <v>8.1379000000000001</v>
      </c>
      <c r="E265" s="12">
        <f>CHOOSE( CONTROL!$C$32, 8.1239, 8.1216) * CHOOSE( CONTROL!$C$15, $D$11, 100%, $F$11)</f>
        <v>8.1239000000000008</v>
      </c>
      <c r="F265" s="4">
        <f>CHOOSE( CONTROL!$C$32, 8.8221, 8.8198) * CHOOSE(CONTROL!$C$15, $D$11, 100%, $F$11)</f>
        <v>8.8221000000000007</v>
      </c>
      <c r="G265" s="8">
        <f>CHOOSE( CONTROL!$C$32, 7.9085, 7.9062) * CHOOSE( CONTROL!$C$15, $D$11, 100%, $F$11)</f>
        <v>7.9085000000000001</v>
      </c>
      <c r="H265" s="4">
        <f>CHOOSE( CONTROL!$C$32, 8.8595, 8.8572) * CHOOSE(CONTROL!$C$15, $D$11, 100%, $F$11)</f>
        <v>8.8595000000000006</v>
      </c>
      <c r="I265" s="8">
        <f>CHOOSE( CONTROL!$C$32, 7.8743, 7.8721) * CHOOSE(CONTROL!$C$15, $D$11, 100%, $F$11)</f>
        <v>7.8742999999999999</v>
      </c>
      <c r="J265" s="4">
        <f>CHOOSE( CONTROL!$C$32, 7.7559, 7.7537) * CHOOSE(CONTROL!$C$15, $D$11, 100%, $F$11)</f>
        <v>7.7558999999999996</v>
      </c>
      <c r="K265" s="4"/>
      <c r="L265" s="9">
        <v>29.7257</v>
      </c>
      <c r="M265" s="9">
        <v>11.6745</v>
      </c>
      <c r="N265" s="9">
        <v>4.7850000000000001</v>
      </c>
      <c r="O265" s="9">
        <v>0.36199999999999999</v>
      </c>
      <c r="P265" s="9">
        <v>1.1791</v>
      </c>
      <c r="Q265" s="9">
        <v>29.6568</v>
      </c>
      <c r="R265" s="9"/>
      <c r="S265" s="11"/>
    </row>
    <row r="266" spans="1:19" ht="15.75">
      <c r="A266" s="14">
        <v>49583</v>
      </c>
      <c r="B266" s="8">
        <f>8.4497 * CHOOSE(CONTROL!$C$15, $D$11, 100%, $F$11)</f>
        <v>8.4497</v>
      </c>
      <c r="C266" s="8">
        <f>8.4605 * CHOOSE(CONTROL!$C$15, $D$11, 100%, $F$11)</f>
        <v>8.4604999999999997</v>
      </c>
      <c r="D266" s="8">
        <f>8.4959 * CHOOSE( CONTROL!$C$15, $D$11, 100%, $F$11)</f>
        <v>8.4959000000000007</v>
      </c>
      <c r="E266" s="12">
        <f>8.4831 * CHOOSE( CONTROL!$C$15, $D$11, 100%, $F$11)</f>
        <v>8.4831000000000003</v>
      </c>
      <c r="F266" s="4">
        <f>9.1785 * CHOOSE(CONTROL!$C$15, $D$11, 100%, $F$11)</f>
        <v>9.1784999999999997</v>
      </c>
      <c r="G266" s="8">
        <f>8.2568 * CHOOSE( CONTROL!$C$15, $D$11, 100%, $F$11)</f>
        <v>8.2568000000000001</v>
      </c>
      <c r="H266" s="4">
        <f>9.208 * CHOOSE(CONTROL!$C$15, $D$11, 100%, $F$11)</f>
        <v>9.2080000000000002</v>
      </c>
      <c r="I266" s="8">
        <f>8.2176 * CHOOSE(CONTROL!$C$15, $D$11, 100%, $F$11)</f>
        <v>8.2175999999999991</v>
      </c>
      <c r="J266" s="4">
        <f>8.0981 * CHOOSE(CONTROL!$C$15, $D$11, 100%, $F$11)</f>
        <v>8.0981000000000005</v>
      </c>
      <c r="K266" s="4"/>
      <c r="L266" s="9">
        <v>31.095300000000002</v>
      </c>
      <c r="M266" s="9">
        <v>12.063700000000001</v>
      </c>
      <c r="N266" s="9">
        <v>4.9444999999999997</v>
      </c>
      <c r="O266" s="9">
        <v>0.37409999999999999</v>
      </c>
      <c r="P266" s="9">
        <v>1.2183999999999999</v>
      </c>
      <c r="Q266" s="9">
        <v>30.645399999999999</v>
      </c>
      <c r="R266" s="9"/>
      <c r="S266" s="11"/>
    </row>
    <row r="267" spans="1:19" ht="15.75">
      <c r="A267" s="14">
        <v>49614</v>
      </c>
      <c r="B267" s="8">
        <f>9.1119 * CHOOSE(CONTROL!$C$15, $D$11, 100%, $F$11)</f>
        <v>9.1119000000000003</v>
      </c>
      <c r="C267" s="8">
        <f>9.1227 * CHOOSE(CONTROL!$C$15, $D$11, 100%, $F$11)</f>
        <v>9.1227</v>
      </c>
      <c r="D267" s="8">
        <f>9.0987 * CHOOSE( CONTROL!$C$15, $D$11, 100%, $F$11)</f>
        <v>9.0986999999999991</v>
      </c>
      <c r="E267" s="12">
        <f>9.1063 * CHOOSE( CONTROL!$C$15, $D$11, 100%, $F$11)</f>
        <v>9.1062999999999992</v>
      </c>
      <c r="F267" s="4">
        <f>9.773 * CHOOSE(CONTROL!$C$15, $D$11, 100%, $F$11)</f>
        <v>9.7729999999999997</v>
      </c>
      <c r="G267" s="8">
        <f>8.9042 * CHOOSE( CONTROL!$C$15, $D$11, 100%, $F$11)</f>
        <v>8.9041999999999994</v>
      </c>
      <c r="H267" s="4">
        <f>9.7892 * CHOOSE(CONTROL!$C$15, $D$11, 100%, $F$11)</f>
        <v>9.7891999999999992</v>
      </c>
      <c r="I267" s="8">
        <f>8.8971 * CHOOSE(CONTROL!$C$15, $D$11, 100%, $F$11)</f>
        <v>8.8971</v>
      </c>
      <c r="J267" s="4">
        <f>8.7339 * CHOOSE(CONTROL!$C$15, $D$11, 100%, $F$11)</f>
        <v>8.7339000000000002</v>
      </c>
      <c r="K267" s="4"/>
      <c r="L267" s="9">
        <v>28.360600000000002</v>
      </c>
      <c r="M267" s="9">
        <v>11.6745</v>
      </c>
      <c r="N267" s="9">
        <v>4.7850000000000001</v>
      </c>
      <c r="O267" s="9">
        <v>0.36199999999999999</v>
      </c>
      <c r="P267" s="9">
        <v>1.2509999999999999</v>
      </c>
      <c r="Q267" s="9">
        <v>29.6568</v>
      </c>
      <c r="R267" s="9"/>
      <c r="S267" s="11"/>
    </row>
    <row r="268" spans="1:19" ht="15.75">
      <c r="A268" s="14">
        <v>49644</v>
      </c>
      <c r="B268" s="8">
        <f>9.0954 * CHOOSE(CONTROL!$C$15, $D$11, 100%, $F$11)</f>
        <v>9.0953999999999997</v>
      </c>
      <c r="C268" s="8">
        <f>9.1062 * CHOOSE(CONTROL!$C$15, $D$11, 100%, $F$11)</f>
        <v>9.1061999999999994</v>
      </c>
      <c r="D268" s="8">
        <f>9.0839 * CHOOSE( CONTROL!$C$15, $D$11, 100%, $F$11)</f>
        <v>9.0838999999999999</v>
      </c>
      <c r="E268" s="12">
        <f>9.0909 * CHOOSE( CONTROL!$C$15, $D$11, 100%, $F$11)</f>
        <v>9.0908999999999995</v>
      </c>
      <c r="F268" s="4">
        <f>9.7565 * CHOOSE(CONTROL!$C$15, $D$11, 100%, $F$11)</f>
        <v>9.7565000000000008</v>
      </c>
      <c r="G268" s="8">
        <f>8.8893 * CHOOSE( CONTROL!$C$15, $D$11, 100%, $F$11)</f>
        <v>8.8893000000000004</v>
      </c>
      <c r="H268" s="4">
        <f>9.7731 * CHOOSE(CONTROL!$C$15, $D$11, 100%, $F$11)</f>
        <v>9.7730999999999995</v>
      </c>
      <c r="I268" s="8">
        <f>8.8864 * CHOOSE(CONTROL!$C$15, $D$11, 100%, $F$11)</f>
        <v>8.8864000000000001</v>
      </c>
      <c r="J268" s="4">
        <f>8.718 * CHOOSE(CONTROL!$C$15, $D$11, 100%, $F$11)</f>
        <v>8.718</v>
      </c>
      <c r="K268" s="4"/>
      <c r="L268" s="9">
        <v>29.306000000000001</v>
      </c>
      <c r="M268" s="9">
        <v>12.063700000000001</v>
      </c>
      <c r="N268" s="9">
        <v>4.9444999999999997</v>
      </c>
      <c r="O268" s="9">
        <v>0.37409999999999999</v>
      </c>
      <c r="P268" s="9">
        <v>1.2927</v>
      </c>
      <c r="Q268" s="9">
        <v>30.645399999999999</v>
      </c>
      <c r="R268" s="9"/>
      <c r="S268" s="11"/>
    </row>
    <row r="269" spans="1:19" ht="15.75">
      <c r="A269" s="14">
        <v>49675</v>
      </c>
      <c r="B269" s="8">
        <f>9.3632 * CHOOSE(CONTROL!$C$15, $D$11, 100%, $F$11)</f>
        <v>9.3632000000000009</v>
      </c>
      <c r="C269" s="8">
        <f>9.374 * CHOOSE(CONTROL!$C$15, $D$11, 100%, $F$11)</f>
        <v>9.3740000000000006</v>
      </c>
      <c r="D269" s="8">
        <f>9.3556 * CHOOSE( CONTROL!$C$15, $D$11, 100%, $F$11)</f>
        <v>9.3556000000000008</v>
      </c>
      <c r="E269" s="12">
        <f>9.3612 * CHOOSE( CONTROL!$C$15, $D$11, 100%, $F$11)</f>
        <v>9.3612000000000002</v>
      </c>
      <c r="F269" s="4">
        <f>10.0243 * CHOOSE(CONTROL!$C$15, $D$11, 100%, $F$11)</f>
        <v>10.0243</v>
      </c>
      <c r="G269" s="8">
        <f>9.1468 * CHOOSE( CONTROL!$C$15, $D$11, 100%, $F$11)</f>
        <v>9.1468000000000007</v>
      </c>
      <c r="H269" s="4">
        <f>10.0349 * CHOOSE(CONTROL!$C$15, $D$11, 100%, $F$11)</f>
        <v>10.0349</v>
      </c>
      <c r="I269" s="8">
        <f>9.099 * CHOOSE(CONTROL!$C$15, $D$11, 100%, $F$11)</f>
        <v>9.0990000000000002</v>
      </c>
      <c r="J269" s="4">
        <f>8.9752 * CHOOSE(CONTROL!$C$15, $D$11, 100%, $F$11)</f>
        <v>8.9751999999999992</v>
      </c>
      <c r="K269" s="4"/>
      <c r="L269" s="9">
        <v>29.306000000000001</v>
      </c>
      <c r="M269" s="9">
        <v>12.063700000000001</v>
      </c>
      <c r="N269" s="9">
        <v>4.9444999999999997</v>
      </c>
      <c r="O269" s="9">
        <v>0.37409999999999999</v>
      </c>
      <c r="P269" s="9">
        <v>1.2927</v>
      </c>
      <c r="Q269" s="9">
        <v>30.580300000000001</v>
      </c>
      <c r="R269" s="9"/>
      <c r="S269" s="11"/>
    </row>
    <row r="270" spans="1:19" ht="15.75">
      <c r="A270" s="14">
        <v>49706</v>
      </c>
      <c r="B270" s="8">
        <f>8.7589 * CHOOSE(CONTROL!$C$15, $D$11, 100%, $F$11)</f>
        <v>8.7589000000000006</v>
      </c>
      <c r="C270" s="8">
        <f>8.7697 * CHOOSE(CONTROL!$C$15, $D$11, 100%, $F$11)</f>
        <v>8.7697000000000003</v>
      </c>
      <c r="D270" s="8">
        <f>8.7511 * CHOOSE( CONTROL!$C$15, $D$11, 100%, $F$11)</f>
        <v>8.7510999999999992</v>
      </c>
      <c r="E270" s="12">
        <f>8.7568 * CHOOSE( CONTROL!$C$15, $D$11, 100%, $F$11)</f>
        <v>8.7568000000000001</v>
      </c>
      <c r="F270" s="4">
        <f>9.42 * CHOOSE(CONTROL!$C$15, $D$11, 100%, $F$11)</f>
        <v>9.42</v>
      </c>
      <c r="G270" s="8">
        <f>8.5558 * CHOOSE( CONTROL!$C$15, $D$11, 100%, $F$11)</f>
        <v>8.5557999999999996</v>
      </c>
      <c r="H270" s="4">
        <f>9.4441 * CHOOSE(CONTROL!$C$15, $D$11, 100%, $F$11)</f>
        <v>9.4441000000000006</v>
      </c>
      <c r="I270" s="8">
        <f>8.518 * CHOOSE(CONTROL!$C$15, $D$11, 100%, $F$11)</f>
        <v>8.5180000000000007</v>
      </c>
      <c r="J270" s="4">
        <f>8.3949 * CHOOSE(CONTROL!$C$15, $D$11, 100%, $F$11)</f>
        <v>8.3948999999999998</v>
      </c>
      <c r="K270" s="4"/>
      <c r="L270" s="9">
        <v>27.415299999999998</v>
      </c>
      <c r="M270" s="9">
        <v>11.285299999999999</v>
      </c>
      <c r="N270" s="9">
        <v>4.6254999999999997</v>
      </c>
      <c r="O270" s="9">
        <v>0.34989999999999999</v>
      </c>
      <c r="P270" s="9">
        <v>1.2093</v>
      </c>
      <c r="Q270" s="9">
        <v>28.607299999999999</v>
      </c>
      <c r="R270" s="9"/>
      <c r="S270" s="11"/>
    </row>
    <row r="271" spans="1:19" ht="15.75">
      <c r="A271" s="14">
        <v>49735</v>
      </c>
      <c r="B271" s="8">
        <f>8.5728 * CHOOSE(CONTROL!$C$15, $D$11, 100%, $F$11)</f>
        <v>8.5728000000000009</v>
      </c>
      <c r="C271" s="8">
        <f>8.5835 * CHOOSE(CONTROL!$C$15, $D$11, 100%, $F$11)</f>
        <v>8.5835000000000008</v>
      </c>
      <c r="D271" s="8">
        <f>8.5645 * CHOOSE( CONTROL!$C$15, $D$11, 100%, $F$11)</f>
        <v>8.5645000000000007</v>
      </c>
      <c r="E271" s="12">
        <f>8.5703 * CHOOSE( CONTROL!$C$15, $D$11, 100%, $F$11)</f>
        <v>8.5702999999999996</v>
      </c>
      <c r="F271" s="4">
        <f>9.2339 * CHOOSE(CONTROL!$C$15, $D$11, 100%, $F$11)</f>
        <v>9.2339000000000002</v>
      </c>
      <c r="G271" s="8">
        <f>8.3734 * CHOOSE( CONTROL!$C$15, $D$11, 100%, $F$11)</f>
        <v>8.3734000000000002</v>
      </c>
      <c r="H271" s="4">
        <f>9.2621 * CHOOSE(CONTROL!$C$15, $D$11, 100%, $F$11)</f>
        <v>9.2621000000000002</v>
      </c>
      <c r="I271" s="8">
        <f>8.3377 * CHOOSE(CONTROL!$C$15, $D$11, 100%, $F$11)</f>
        <v>8.3376999999999999</v>
      </c>
      <c r="J271" s="4">
        <f>8.2162 * CHOOSE(CONTROL!$C$15, $D$11, 100%, $F$11)</f>
        <v>8.2162000000000006</v>
      </c>
      <c r="K271" s="4"/>
      <c r="L271" s="9">
        <v>29.306000000000001</v>
      </c>
      <c r="M271" s="9">
        <v>12.063700000000001</v>
      </c>
      <c r="N271" s="9">
        <v>4.9444999999999997</v>
      </c>
      <c r="O271" s="9">
        <v>0.37409999999999999</v>
      </c>
      <c r="P271" s="9">
        <v>1.2927</v>
      </c>
      <c r="Q271" s="9">
        <v>30.580300000000001</v>
      </c>
      <c r="R271" s="9"/>
      <c r="S271" s="11"/>
    </row>
    <row r="272" spans="1:19" ht="15.75">
      <c r="A272" s="14">
        <v>49766</v>
      </c>
      <c r="B272" s="8">
        <f>8.7028 * CHOOSE(CONTROL!$C$15, $D$11, 100%, $F$11)</f>
        <v>8.7027999999999999</v>
      </c>
      <c r="C272" s="8">
        <f>8.7136 * CHOOSE(CONTROL!$C$15, $D$11, 100%, $F$11)</f>
        <v>8.7135999999999996</v>
      </c>
      <c r="D272" s="8">
        <f>8.7483 * CHOOSE( CONTROL!$C$15, $D$11, 100%, $F$11)</f>
        <v>8.7483000000000004</v>
      </c>
      <c r="E272" s="12">
        <f>8.7356 * CHOOSE( CONTROL!$C$15, $D$11, 100%, $F$11)</f>
        <v>8.7355999999999998</v>
      </c>
      <c r="F272" s="4">
        <f>9.4316 * CHOOSE(CONTROL!$C$15, $D$11, 100%, $F$11)</f>
        <v>9.4315999999999995</v>
      </c>
      <c r="G272" s="8">
        <f>8.5033 * CHOOSE( CONTROL!$C$15, $D$11, 100%, $F$11)</f>
        <v>8.5032999999999994</v>
      </c>
      <c r="H272" s="4">
        <f>9.4554 * CHOOSE(CONTROL!$C$15, $D$11, 100%, $F$11)</f>
        <v>9.4553999999999991</v>
      </c>
      <c r="I272" s="8">
        <f>8.4579 * CHOOSE(CONTROL!$C$15, $D$11, 100%, $F$11)</f>
        <v>8.4579000000000004</v>
      </c>
      <c r="J272" s="4">
        <f>8.3411 * CHOOSE(CONTROL!$C$15, $D$11, 100%, $F$11)</f>
        <v>8.3411000000000008</v>
      </c>
      <c r="K272" s="4"/>
      <c r="L272" s="9">
        <v>30.092199999999998</v>
      </c>
      <c r="M272" s="9">
        <v>11.6745</v>
      </c>
      <c r="N272" s="9">
        <v>4.7850000000000001</v>
      </c>
      <c r="O272" s="9">
        <v>0.36199999999999999</v>
      </c>
      <c r="P272" s="9">
        <v>1.1791</v>
      </c>
      <c r="Q272" s="9">
        <v>29.593800000000002</v>
      </c>
      <c r="R272" s="9"/>
      <c r="S272" s="11"/>
    </row>
    <row r="273" spans="1:19" ht="15.75">
      <c r="A273" s="14">
        <v>49796</v>
      </c>
      <c r="B273" s="8">
        <f>CHOOSE( CONTROL!$C$32, 8.9365, 8.9342) * CHOOSE(CONTROL!$C$15, $D$11, 100%, $F$11)</f>
        <v>8.9365000000000006</v>
      </c>
      <c r="C273" s="8">
        <f>CHOOSE( CONTROL!$C$32, 8.947, 8.9447) * CHOOSE(CONTROL!$C$15, $D$11, 100%, $F$11)</f>
        <v>8.9469999999999992</v>
      </c>
      <c r="D273" s="8">
        <f>CHOOSE( CONTROL!$C$32, 8.9809, 8.9786) * CHOOSE( CONTROL!$C$15, $D$11, 100%, $F$11)</f>
        <v>8.9809000000000001</v>
      </c>
      <c r="E273" s="12">
        <f>CHOOSE( CONTROL!$C$32, 8.967, 8.9647) * CHOOSE( CONTROL!$C$15, $D$11, 100%, $F$11)</f>
        <v>8.9670000000000005</v>
      </c>
      <c r="F273" s="4">
        <f>CHOOSE( CONTROL!$C$32, 9.6654, 9.6631) * CHOOSE(CONTROL!$C$15, $D$11, 100%, $F$11)</f>
        <v>9.6654</v>
      </c>
      <c r="G273" s="8">
        <f>CHOOSE( CONTROL!$C$32, 8.7324, 8.7302) * CHOOSE( CONTROL!$C$15, $D$11, 100%, $F$11)</f>
        <v>8.7324000000000002</v>
      </c>
      <c r="H273" s="4">
        <f>CHOOSE( CONTROL!$C$32, 9.684, 9.6818) * CHOOSE(CONTROL!$C$15, $D$11, 100%, $F$11)</f>
        <v>9.6839999999999993</v>
      </c>
      <c r="I273" s="8">
        <f>CHOOSE( CONTROL!$C$32, 8.6826, 8.6803) * CHOOSE(CONTROL!$C$15, $D$11, 100%, $F$11)</f>
        <v>8.6826000000000008</v>
      </c>
      <c r="J273" s="4">
        <f>CHOOSE( CONTROL!$C$32, 8.5656, 8.5634) * CHOOSE(CONTROL!$C$15, $D$11, 100%, $F$11)</f>
        <v>8.5655999999999999</v>
      </c>
      <c r="K273" s="4"/>
      <c r="L273" s="9">
        <v>30.7165</v>
      </c>
      <c r="M273" s="9">
        <v>12.063700000000001</v>
      </c>
      <c r="N273" s="9">
        <v>4.9444999999999997</v>
      </c>
      <c r="O273" s="9">
        <v>0.37409999999999999</v>
      </c>
      <c r="P273" s="9">
        <v>1.2183999999999999</v>
      </c>
      <c r="Q273" s="9">
        <v>30.580300000000001</v>
      </c>
      <c r="R273" s="9"/>
      <c r="S273" s="11"/>
    </row>
    <row r="274" spans="1:19" ht="15.75">
      <c r="A274" s="14">
        <v>49827</v>
      </c>
      <c r="B274" s="8">
        <f>CHOOSE( CONTROL!$C$32, 8.7931, 8.7908) * CHOOSE(CONTROL!$C$15, $D$11, 100%, $F$11)</f>
        <v>8.7931000000000008</v>
      </c>
      <c r="C274" s="8">
        <f>CHOOSE( CONTROL!$C$32, 8.8036, 8.8013) * CHOOSE(CONTROL!$C$15, $D$11, 100%, $F$11)</f>
        <v>8.8035999999999994</v>
      </c>
      <c r="D274" s="8">
        <f>CHOOSE( CONTROL!$C$32, 8.8376, 8.8353) * CHOOSE( CONTROL!$C$15, $D$11, 100%, $F$11)</f>
        <v>8.8376000000000001</v>
      </c>
      <c r="E274" s="12">
        <f>CHOOSE( CONTROL!$C$32, 8.8237, 8.8214) * CHOOSE( CONTROL!$C$15, $D$11, 100%, $F$11)</f>
        <v>8.8237000000000005</v>
      </c>
      <c r="F274" s="4">
        <f>CHOOSE( CONTROL!$C$32, 9.522, 9.5197) * CHOOSE(CONTROL!$C$15, $D$11, 100%, $F$11)</f>
        <v>9.5220000000000002</v>
      </c>
      <c r="G274" s="8">
        <f>CHOOSE( CONTROL!$C$32, 8.5925, 8.5902) * CHOOSE( CONTROL!$C$15, $D$11, 100%, $F$11)</f>
        <v>8.5924999999999994</v>
      </c>
      <c r="H274" s="4">
        <f>CHOOSE( CONTROL!$C$32, 9.5438, 9.5416) * CHOOSE(CONTROL!$C$15, $D$11, 100%, $F$11)</f>
        <v>9.5437999999999992</v>
      </c>
      <c r="I274" s="8">
        <f>CHOOSE( CONTROL!$C$32, 8.5456, 8.5433) * CHOOSE(CONTROL!$C$15, $D$11, 100%, $F$11)</f>
        <v>8.5456000000000003</v>
      </c>
      <c r="J274" s="4">
        <f>CHOOSE( CONTROL!$C$32, 8.4279, 8.4257) * CHOOSE(CONTROL!$C$15, $D$11, 100%, $F$11)</f>
        <v>8.4278999999999993</v>
      </c>
      <c r="K274" s="4"/>
      <c r="L274" s="9">
        <v>29.7257</v>
      </c>
      <c r="M274" s="9">
        <v>11.6745</v>
      </c>
      <c r="N274" s="9">
        <v>4.7850000000000001</v>
      </c>
      <c r="O274" s="9">
        <v>0.36199999999999999</v>
      </c>
      <c r="P274" s="9">
        <v>1.1791</v>
      </c>
      <c r="Q274" s="9">
        <v>29.593800000000002</v>
      </c>
      <c r="R274" s="9"/>
      <c r="S274" s="11"/>
    </row>
    <row r="275" spans="1:19" ht="15.75">
      <c r="A275" s="14">
        <v>49857</v>
      </c>
      <c r="B275" s="8">
        <f>CHOOSE( CONTROL!$C$32, 9.1707, 9.1684) * CHOOSE(CONTROL!$C$15, $D$11, 100%, $F$11)</f>
        <v>9.1707000000000001</v>
      </c>
      <c r="C275" s="8">
        <f>CHOOSE( CONTROL!$C$32, 9.1813, 9.179) * CHOOSE(CONTROL!$C$15, $D$11, 100%, $F$11)</f>
        <v>9.1813000000000002</v>
      </c>
      <c r="D275" s="8">
        <f>CHOOSE( CONTROL!$C$32, 9.2155, 9.2132) * CHOOSE( CONTROL!$C$15, $D$11, 100%, $F$11)</f>
        <v>9.2155000000000005</v>
      </c>
      <c r="E275" s="12">
        <f>CHOOSE( CONTROL!$C$32, 9.2015, 9.1992) * CHOOSE( CONTROL!$C$15, $D$11, 100%, $F$11)</f>
        <v>9.2014999999999993</v>
      </c>
      <c r="F275" s="4">
        <f>CHOOSE( CONTROL!$C$32, 9.8996, 9.8973) * CHOOSE(CONTROL!$C$15, $D$11, 100%, $F$11)</f>
        <v>9.8995999999999995</v>
      </c>
      <c r="G275" s="8">
        <f>CHOOSE( CONTROL!$C$32, 8.962, 8.9597) * CHOOSE( CONTROL!$C$15, $D$11, 100%, $F$11)</f>
        <v>8.9619999999999997</v>
      </c>
      <c r="H275" s="4">
        <f>CHOOSE( CONTROL!$C$32, 9.913, 9.9108) * CHOOSE(CONTROL!$C$15, $D$11, 100%, $F$11)</f>
        <v>9.9130000000000003</v>
      </c>
      <c r="I275" s="8">
        <f>CHOOSE( CONTROL!$C$32, 8.9093, 8.9071) * CHOOSE(CONTROL!$C$15, $D$11, 100%, $F$11)</f>
        <v>8.9093</v>
      </c>
      <c r="J275" s="4">
        <f>CHOOSE( CONTROL!$C$32, 8.7905, 8.7883) * CHOOSE(CONTROL!$C$15, $D$11, 100%, $F$11)</f>
        <v>8.7904999999999998</v>
      </c>
      <c r="K275" s="4"/>
      <c r="L275" s="9">
        <v>30.7165</v>
      </c>
      <c r="M275" s="9">
        <v>12.063700000000001</v>
      </c>
      <c r="N275" s="9">
        <v>4.9444999999999997</v>
      </c>
      <c r="O275" s="9">
        <v>0.37409999999999999</v>
      </c>
      <c r="P275" s="9">
        <v>1.2183999999999999</v>
      </c>
      <c r="Q275" s="9">
        <v>30.580300000000001</v>
      </c>
      <c r="R275" s="9"/>
      <c r="S275" s="11"/>
    </row>
    <row r="276" spans="1:19" ht="15.75">
      <c r="A276" s="14">
        <v>49888</v>
      </c>
      <c r="B276" s="8">
        <f>CHOOSE( CONTROL!$C$32, 8.4641, 8.4618) * CHOOSE(CONTROL!$C$15, $D$11, 100%, $F$11)</f>
        <v>8.4641000000000002</v>
      </c>
      <c r="C276" s="8">
        <f>CHOOSE( CONTROL!$C$32, 8.4747, 8.4724) * CHOOSE(CONTROL!$C$15, $D$11, 100%, $F$11)</f>
        <v>8.4747000000000003</v>
      </c>
      <c r="D276" s="8">
        <f>CHOOSE( CONTROL!$C$32, 8.509, 8.5067) * CHOOSE( CONTROL!$C$15, $D$11, 100%, $F$11)</f>
        <v>8.5090000000000003</v>
      </c>
      <c r="E276" s="12">
        <f>CHOOSE( CONTROL!$C$32, 8.495, 8.4927) * CHOOSE( CONTROL!$C$15, $D$11, 100%, $F$11)</f>
        <v>8.4949999999999992</v>
      </c>
      <c r="F276" s="4">
        <f>CHOOSE( CONTROL!$C$32, 9.1931, 9.1908) * CHOOSE(CONTROL!$C$15, $D$11, 100%, $F$11)</f>
        <v>9.1930999999999994</v>
      </c>
      <c r="G276" s="8">
        <f>CHOOSE( CONTROL!$C$32, 8.2713, 8.269) * CHOOSE( CONTROL!$C$15, $D$11, 100%, $F$11)</f>
        <v>8.2713000000000001</v>
      </c>
      <c r="H276" s="4">
        <f>CHOOSE( CONTROL!$C$32, 9.2222, 9.2199) * CHOOSE(CONTROL!$C$15, $D$11, 100%, $F$11)</f>
        <v>9.2222000000000008</v>
      </c>
      <c r="I276" s="8">
        <f>CHOOSE( CONTROL!$C$32, 8.2308, 8.2286) * CHOOSE(CONTROL!$C$15, $D$11, 100%, $F$11)</f>
        <v>8.2308000000000003</v>
      </c>
      <c r="J276" s="4">
        <f>CHOOSE( CONTROL!$C$32, 8.1121, 8.1099) * CHOOSE(CONTROL!$C$15, $D$11, 100%, $F$11)</f>
        <v>8.1120999999999999</v>
      </c>
      <c r="K276" s="4"/>
      <c r="L276" s="9">
        <v>30.7165</v>
      </c>
      <c r="M276" s="9">
        <v>12.063700000000001</v>
      </c>
      <c r="N276" s="9">
        <v>4.9444999999999997</v>
      </c>
      <c r="O276" s="9">
        <v>0.37409999999999999</v>
      </c>
      <c r="P276" s="9">
        <v>1.2183999999999999</v>
      </c>
      <c r="Q276" s="9">
        <v>30.580300000000001</v>
      </c>
      <c r="R276" s="9"/>
      <c r="S276" s="11"/>
    </row>
    <row r="277" spans="1:19" ht="15.75">
      <c r="A277" s="14">
        <v>49919</v>
      </c>
      <c r="B277" s="8">
        <f>CHOOSE( CONTROL!$C$32, 8.2872, 8.2849) * CHOOSE(CONTROL!$C$15, $D$11, 100%, $F$11)</f>
        <v>8.2872000000000003</v>
      </c>
      <c r="C277" s="8">
        <f>CHOOSE( CONTROL!$C$32, 8.2978, 8.2955) * CHOOSE(CONTROL!$C$15, $D$11, 100%, $F$11)</f>
        <v>8.2978000000000005</v>
      </c>
      <c r="D277" s="8">
        <f>CHOOSE( CONTROL!$C$32, 8.332, 8.3297) * CHOOSE( CONTROL!$C$15, $D$11, 100%, $F$11)</f>
        <v>8.3320000000000007</v>
      </c>
      <c r="E277" s="12">
        <f>CHOOSE( CONTROL!$C$32, 8.318, 8.3157) * CHOOSE( CONTROL!$C$15, $D$11, 100%, $F$11)</f>
        <v>8.3179999999999996</v>
      </c>
      <c r="F277" s="4">
        <f>CHOOSE( CONTROL!$C$32, 9.0161, 9.0138) * CHOOSE(CONTROL!$C$15, $D$11, 100%, $F$11)</f>
        <v>9.0160999999999998</v>
      </c>
      <c r="G277" s="8">
        <f>CHOOSE( CONTROL!$C$32, 8.0982, 8.096) * CHOOSE( CONTROL!$C$15, $D$11, 100%, $F$11)</f>
        <v>8.0982000000000003</v>
      </c>
      <c r="H277" s="4">
        <f>CHOOSE( CONTROL!$C$32, 9.0492, 9.0469) * CHOOSE(CONTROL!$C$15, $D$11, 100%, $F$11)</f>
        <v>9.0492000000000008</v>
      </c>
      <c r="I277" s="8">
        <f>CHOOSE( CONTROL!$C$32, 8.0607, 8.0585) * CHOOSE(CONTROL!$C$15, $D$11, 100%, $F$11)</f>
        <v>8.0607000000000006</v>
      </c>
      <c r="J277" s="4">
        <f>CHOOSE( CONTROL!$C$32, 7.9422, 7.94) * CHOOSE(CONTROL!$C$15, $D$11, 100%, $F$11)</f>
        <v>7.9421999999999997</v>
      </c>
      <c r="K277" s="4"/>
      <c r="L277" s="9">
        <v>29.7257</v>
      </c>
      <c r="M277" s="9">
        <v>11.6745</v>
      </c>
      <c r="N277" s="9">
        <v>4.7850000000000001</v>
      </c>
      <c r="O277" s="9">
        <v>0.36199999999999999</v>
      </c>
      <c r="P277" s="9">
        <v>1.1791</v>
      </c>
      <c r="Q277" s="9">
        <v>29.593800000000002</v>
      </c>
      <c r="R277" s="9"/>
      <c r="S277" s="11"/>
    </row>
    <row r="278" spans="1:19" ht="15.75">
      <c r="A278" s="14">
        <v>49949</v>
      </c>
      <c r="B278" s="8">
        <f>8.6524 * CHOOSE(CONTROL!$C$15, $D$11, 100%, $F$11)</f>
        <v>8.6524000000000001</v>
      </c>
      <c r="C278" s="8">
        <f>8.6631 * CHOOSE(CONTROL!$C$15, $D$11, 100%, $F$11)</f>
        <v>8.6631</v>
      </c>
      <c r="D278" s="8">
        <f>8.6985 * CHOOSE( CONTROL!$C$15, $D$11, 100%, $F$11)</f>
        <v>8.6984999999999992</v>
      </c>
      <c r="E278" s="12">
        <f>8.6857 * CHOOSE( CONTROL!$C$15, $D$11, 100%, $F$11)</f>
        <v>8.6857000000000006</v>
      </c>
      <c r="F278" s="4">
        <f>9.3812 * CHOOSE(CONTROL!$C$15, $D$11, 100%, $F$11)</f>
        <v>9.3811999999999998</v>
      </c>
      <c r="G278" s="8">
        <f>8.455 * CHOOSE( CONTROL!$C$15, $D$11, 100%, $F$11)</f>
        <v>8.4550000000000001</v>
      </c>
      <c r="H278" s="4">
        <f>9.4061 * CHOOSE(CONTROL!$C$15, $D$11, 100%, $F$11)</f>
        <v>9.4061000000000003</v>
      </c>
      <c r="I278" s="8">
        <f>8.4123 * CHOOSE(CONTROL!$C$15, $D$11, 100%, $F$11)</f>
        <v>8.4123000000000001</v>
      </c>
      <c r="J278" s="4">
        <f>8.2927 * CHOOSE(CONTROL!$C$15, $D$11, 100%, $F$11)</f>
        <v>8.2927</v>
      </c>
      <c r="K278" s="4"/>
      <c r="L278" s="9">
        <v>31.095300000000002</v>
      </c>
      <c r="M278" s="9">
        <v>12.063700000000001</v>
      </c>
      <c r="N278" s="9">
        <v>4.9444999999999997</v>
      </c>
      <c r="O278" s="9">
        <v>0.37409999999999999</v>
      </c>
      <c r="P278" s="9">
        <v>1.2183999999999999</v>
      </c>
      <c r="Q278" s="9">
        <v>30.580300000000001</v>
      </c>
      <c r="R278" s="9"/>
      <c r="S278" s="11"/>
    </row>
    <row r="279" spans="1:19" ht="15.75">
      <c r="A279" s="14">
        <v>49980</v>
      </c>
      <c r="B279" s="8">
        <f>9.3305 * CHOOSE(CONTROL!$C$15, $D$11, 100%, $F$11)</f>
        <v>9.3305000000000007</v>
      </c>
      <c r="C279" s="8">
        <f>9.3413 * CHOOSE(CONTROL!$C$15, $D$11, 100%, $F$11)</f>
        <v>9.3413000000000004</v>
      </c>
      <c r="D279" s="8">
        <f>9.3173 * CHOOSE( CONTROL!$C$15, $D$11, 100%, $F$11)</f>
        <v>9.3172999999999995</v>
      </c>
      <c r="E279" s="12">
        <f>9.3249 * CHOOSE( CONTROL!$C$15, $D$11, 100%, $F$11)</f>
        <v>9.3248999999999995</v>
      </c>
      <c r="F279" s="4">
        <f>9.9916 * CHOOSE(CONTROL!$C$15, $D$11, 100%, $F$11)</f>
        <v>9.9916</v>
      </c>
      <c r="G279" s="8">
        <f>9.1179 * CHOOSE( CONTROL!$C$15, $D$11, 100%, $F$11)</f>
        <v>9.1179000000000006</v>
      </c>
      <c r="H279" s="4">
        <f>10.0029 * CHOOSE(CONTROL!$C$15, $D$11, 100%, $F$11)</f>
        <v>10.0029</v>
      </c>
      <c r="I279" s="8">
        <f>9.107 * CHOOSE(CONTROL!$C$15, $D$11, 100%, $F$11)</f>
        <v>9.1069999999999993</v>
      </c>
      <c r="J279" s="4">
        <f>8.9438 * CHOOSE(CONTROL!$C$15, $D$11, 100%, $F$11)</f>
        <v>8.9437999999999995</v>
      </c>
      <c r="K279" s="4"/>
      <c r="L279" s="9">
        <v>28.360600000000002</v>
      </c>
      <c r="M279" s="9">
        <v>11.6745</v>
      </c>
      <c r="N279" s="9">
        <v>4.7850000000000001</v>
      </c>
      <c r="O279" s="9">
        <v>0.36199999999999999</v>
      </c>
      <c r="P279" s="9">
        <v>1.2509999999999999</v>
      </c>
      <c r="Q279" s="9">
        <v>29.593800000000002</v>
      </c>
      <c r="R279" s="9"/>
      <c r="S279" s="11"/>
    </row>
    <row r="280" spans="1:19" ht="15.75">
      <c r="A280" s="14">
        <v>50010</v>
      </c>
      <c r="B280" s="8">
        <f>9.3136 * CHOOSE(CONTROL!$C$15, $D$11, 100%, $F$11)</f>
        <v>9.3135999999999992</v>
      </c>
      <c r="C280" s="8">
        <f>9.3243 * CHOOSE(CONTROL!$C$15, $D$11, 100%, $F$11)</f>
        <v>9.3242999999999991</v>
      </c>
      <c r="D280" s="8">
        <f>9.3021 * CHOOSE( CONTROL!$C$15, $D$11, 100%, $F$11)</f>
        <v>9.3020999999999994</v>
      </c>
      <c r="E280" s="12">
        <f>9.3091 * CHOOSE( CONTROL!$C$15, $D$11, 100%, $F$11)</f>
        <v>9.3091000000000008</v>
      </c>
      <c r="F280" s="4">
        <f>9.9747 * CHOOSE(CONTROL!$C$15, $D$11, 100%, $F$11)</f>
        <v>9.9747000000000003</v>
      </c>
      <c r="G280" s="8">
        <f>9.1026 * CHOOSE( CONTROL!$C$15, $D$11, 100%, $F$11)</f>
        <v>9.1026000000000007</v>
      </c>
      <c r="H280" s="4">
        <f>9.9864 * CHOOSE(CONTROL!$C$15, $D$11, 100%, $F$11)</f>
        <v>9.9863999999999997</v>
      </c>
      <c r="I280" s="8">
        <f>9.0959 * CHOOSE(CONTROL!$C$15, $D$11, 100%, $F$11)</f>
        <v>9.0959000000000003</v>
      </c>
      <c r="J280" s="4">
        <f>8.9275 * CHOOSE(CONTROL!$C$15, $D$11, 100%, $F$11)</f>
        <v>8.9275000000000002</v>
      </c>
      <c r="K280" s="4"/>
      <c r="L280" s="9">
        <v>29.306000000000001</v>
      </c>
      <c r="M280" s="9">
        <v>12.063700000000001</v>
      </c>
      <c r="N280" s="9">
        <v>4.9444999999999997</v>
      </c>
      <c r="O280" s="9">
        <v>0.37409999999999999</v>
      </c>
      <c r="P280" s="9">
        <v>1.2927</v>
      </c>
      <c r="Q280" s="9">
        <v>30.580300000000001</v>
      </c>
      <c r="R280" s="9"/>
      <c r="S280" s="11"/>
    </row>
    <row r="281" spans="1:19" ht="15.75">
      <c r="A281" s="14">
        <v>50041</v>
      </c>
      <c r="B281" s="8">
        <f>9.5878 * CHOOSE(CONTROL!$C$15, $D$11, 100%, $F$11)</f>
        <v>9.5877999999999997</v>
      </c>
      <c r="C281" s="8">
        <f>9.5986 * CHOOSE(CONTROL!$C$15, $D$11, 100%, $F$11)</f>
        <v>9.5985999999999994</v>
      </c>
      <c r="D281" s="8">
        <f>9.5802 * CHOOSE( CONTROL!$C$15, $D$11, 100%, $F$11)</f>
        <v>9.5801999999999996</v>
      </c>
      <c r="E281" s="12">
        <f>9.5858 * CHOOSE( CONTROL!$C$15, $D$11, 100%, $F$11)</f>
        <v>9.5858000000000008</v>
      </c>
      <c r="F281" s="4">
        <f>10.249 * CHOOSE(CONTROL!$C$15, $D$11, 100%, $F$11)</f>
        <v>10.249000000000001</v>
      </c>
      <c r="G281" s="8">
        <f>9.3664 * CHOOSE( CONTROL!$C$15, $D$11, 100%, $F$11)</f>
        <v>9.3664000000000005</v>
      </c>
      <c r="H281" s="4">
        <f>10.2545 * CHOOSE(CONTROL!$C$15, $D$11, 100%, $F$11)</f>
        <v>10.2545</v>
      </c>
      <c r="I281" s="8">
        <f>9.3148 * CHOOSE(CONTROL!$C$15, $D$11, 100%, $F$11)</f>
        <v>9.3148</v>
      </c>
      <c r="J281" s="4">
        <f>9.1908 * CHOOSE(CONTROL!$C$15, $D$11, 100%, $F$11)</f>
        <v>9.1907999999999994</v>
      </c>
      <c r="K281" s="4"/>
      <c r="L281" s="9">
        <v>29.306000000000001</v>
      </c>
      <c r="M281" s="9">
        <v>12.063700000000001</v>
      </c>
      <c r="N281" s="9">
        <v>4.9444999999999997</v>
      </c>
      <c r="O281" s="9">
        <v>0.37409999999999999</v>
      </c>
      <c r="P281" s="9">
        <v>1.2927</v>
      </c>
      <c r="Q281" s="9">
        <v>30.5152</v>
      </c>
      <c r="R281" s="9"/>
      <c r="S281" s="11"/>
    </row>
    <row r="282" spans="1:19" ht="15.75">
      <c r="A282" s="14">
        <v>50072</v>
      </c>
      <c r="B282" s="8">
        <f>8.969 * CHOOSE(CONTROL!$C$15, $D$11, 100%, $F$11)</f>
        <v>8.9689999999999994</v>
      </c>
      <c r="C282" s="8">
        <f>8.9797 * CHOOSE(CONTROL!$C$15, $D$11, 100%, $F$11)</f>
        <v>8.9796999999999993</v>
      </c>
      <c r="D282" s="8">
        <f>8.9612 * CHOOSE( CONTROL!$C$15, $D$11, 100%, $F$11)</f>
        <v>8.9611999999999998</v>
      </c>
      <c r="E282" s="12">
        <f>8.9668 * CHOOSE( CONTROL!$C$15, $D$11, 100%, $F$11)</f>
        <v>8.9667999999999992</v>
      </c>
      <c r="F282" s="4">
        <f>9.6301 * CHOOSE(CONTROL!$C$15, $D$11, 100%, $F$11)</f>
        <v>9.6301000000000005</v>
      </c>
      <c r="G282" s="8">
        <f>8.7612 * CHOOSE( CONTROL!$C$15, $D$11, 100%, $F$11)</f>
        <v>8.7612000000000005</v>
      </c>
      <c r="H282" s="4">
        <f>9.6495 * CHOOSE(CONTROL!$C$15, $D$11, 100%, $F$11)</f>
        <v>9.6494999999999997</v>
      </c>
      <c r="I282" s="8">
        <f>8.7198 * CHOOSE(CONTROL!$C$15, $D$11, 100%, $F$11)</f>
        <v>8.7197999999999993</v>
      </c>
      <c r="J282" s="4">
        <f>8.5967 * CHOOSE(CONTROL!$C$15, $D$11, 100%, $F$11)</f>
        <v>8.5967000000000002</v>
      </c>
      <c r="K282" s="4"/>
      <c r="L282" s="9">
        <v>26.469899999999999</v>
      </c>
      <c r="M282" s="9">
        <v>10.8962</v>
      </c>
      <c r="N282" s="9">
        <v>4.4660000000000002</v>
      </c>
      <c r="O282" s="9">
        <v>0.33789999999999998</v>
      </c>
      <c r="P282" s="9">
        <v>1.1676</v>
      </c>
      <c r="Q282" s="9">
        <v>27.562100000000001</v>
      </c>
      <c r="R282" s="9"/>
      <c r="S282" s="11"/>
    </row>
    <row r="283" spans="1:19" ht="15.75">
      <c r="A283" s="14">
        <v>50100</v>
      </c>
      <c r="B283" s="8">
        <f>8.7784 * CHOOSE(CONTROL!$C$15, $D$11, 100%, $F$11)</f>
        <v>8.7783999999999995</v>
      </c>
      <c r="C283" s="8">
        <f>8.7891 * CHOOSE(CONTROL!$C$15, $D$11, 100%, $F$11)</f>
        <v>8.7890999999999995</v>
      </c>
      <c r="D283" s="8">
        <f>8.7701 * CHOOSE( CONTROL!$C$15, $D$11, 100%, $F$11)</f>
        <v>8.7700999999999993</v>
      </c>
      <c r="E283" s="12">
        <f>8.7759 * CHOOSE( CONTROL!$C$15, $D$11, 100%, $F$11)</f>
        <v>8.7759</v>
      </c>
      <c r="F283" s="4">
        <f>9.4395 * CHOOSE(CONTROL!$C$15, $D$11, 100%, $F$11)</f>
        <v>9.4395000000000007</v>
      </c>
      <c r="G283" s="8">
        <f>8.5745 * CHOOSE( CONTROL!$C$15, $D$11, 100%, $F$11)</f>
        <v>8.5745000000000005</v>
      </c>
      <c r="H283" s="4">
        <f>9.4631 * CHOOSE(CONTROL!$C$15, $D$11, 100%, $F$11)</f>
        <v>9.4631000000000007</v>
      </c>
      <c r="I283" s="8">
        <f>8.5352 * CHOOSE(CONTROL!$C$15, $D$11, 100%, $F$11)</f>
        <v>8.5351999999999997</v>
      </c>
      <c r="J283" s="4">
        <f>8.4137 * CHOOSE(CONTROL!$C$15, $D$11, 100%, $F$11)</f>
        <v>8.4137000000000004</v>
      </c>
      <c r="K283" s="4"/>
      <c r="L283" s="9">
        <v>29.306000000000001</v>
      </c>
      <c r="M283" s="9">
        <v>12.063700000000001</v>
      </c>
      <c r="N283" s="9">
        <v>4.9444999999999997</v>
      </c>
      <c r="O283" s="9">
        <v>0.37409999999999999</v>
      </c>
      <c r="P283" s="9">
        <v>1.2927</v>
      </c>
      <c r="Q283" s="9">
        <v>30.5152</v>
      </c>
      <c r="R283" s="9"/>
      <c r="S283" s="11"/>
    </row>
    <row r="284" spans="1:19" ht="15.75">
      <c r="A284" s="14">
        <v>50131</v>
      </c>
      <c r="B284" s="8">
        <f>8.9115 * CHOOSE(CONTROL!$C$15, $D$11, 100%, $F$11)</f>
        <v>8.9115000000000002</v>
      </c>
      <c r="C284" s="8">
        <f>8.9223 * CHOOSE(CONTROL!$C$15, $D$11, 100%, $F$11)</f>
        <v>8.9222999999999999</v>
      </c>
      <c r="D284" s="8">
        <f>8.9571 * CHOOSE( CONTROL!$C$15, $D$11, 100%, $F$11)</f>
        <v>8.9571000000000005</v>
      </c>
      <c r="E284" s="12">
        <f>8.9444 * CHOOSE( CONTROL!$C$15, $D$11, 100%, $F$11)</f>
        <v>8.9443999999999999</v>
      </c>
      <c r="F284" s="4">
        <f>9.6404 * CHOOSE(CONTROL!$C$15, $D$11, 100%, $F$11)</f>
        <v>9.6403999999999996</v>
      </c>
      <c r="G284" s="8">
        <f>8.7074 * CHOOSE( CONTROL!$C$15, $D$11, 100%, $F$11)</f>
        <v>8.7073999999999998</v>
      </c>
      <c r="H284" s="4">
        <f>9.6595 * CHOOSE(CONTROL!$C$15, $D$11, 100%, $F$11)</f>
        <v>9.6594999999999995</v>
      </c>
      <c r="I284" s="8">
        <f>8.6584 * CHOOSE(CONTROL!$C$15, $D$11, 100%, $F$11)</f>
        <v>8.6584000000000003</v>
      </c>
      <c r="J284" s="4">
        <f>8.5415 * CHOOSE(CONTROL!$C$15, $D$11, 100%, $F$11)</f>
        <v>8.5414999999999992</v>
      </c>
      <c r="K284" s="4"/>
      <c r="L284" s="9">
        <v>30.092199999999998</v>
      </c>
      <c r="M284" s="9">
        <v>11.6745</v>
      </c>
      <c r="N284" s="9">
        <v>4.7850000000000001</v>
      </c>
      <c r="O284" s="9">
        <v>0.36199999999999999</v>
      </c>
      <c r="P284" s="9">
        <v>1.1791</v>
      </c>
      <c r="Q284" s="9">
        <v>29.530799999999999</v>
      </c>
      <c r="R284" s="9"/>
      <c r="S284" s="11"/>
    </row>
    <row r="285" spans="1:19" ht="15.75">
      <c r="A285" s="14">
        <v>50161</v>
      </c>
      <c r="B285" s="8">
        <f>CHOOSE( CONTROL!$C$32, 9.1508, 9.1485) * CHOOSE(CONTROL!$C$15, $D$11, 100%, $F$11)</f>
        <v>9.1508000000000003</v>
      </c>
      <c r="C285" s="8">
        <f>CHOOSE( CONTROL!$C$32, 9.1614, 9.1591) * CHOOSE(CONTROL!$C$15, $D$11, 100%, $F$11)</f>
        <v>9.1614000000000004</v>
      </c>
      <c r="D285" s="8">
        <f>CHOOSE( CONTROL!$C$32, 9.1952, 9.1929) * CHOOSE( CONTROL!$C$15, $D$11, 100%, $F$11)</f>
        <v>9.1951999999999998</v>
      </c>
      <c r="E285" s="12">
        <f>CHOOSE( CONTROL!$C$32, 9.1813, 9.179) * CHOOSE( CONTROL!$C$15, $D$11, 100%, $F$11)</f>
        <v>9.1813000000000002</v>
      </c>
      <c r="F285" s="4">
        <f>CHOOSE( CONTROL!$C$32, 9.8797, 9.8774) * CHOOSE(CONTROL!$C$15, $D$11, 100%, $F$11)</f>
        <v>9.8796999999999997</v>
      </c>
      <c r="G285" s="8">
        <f>CHOOSE( CONTROL!$C$32, 8.9419, 8.9397) * CHOOSE( CONTROL!$C$15, $D$11, 100%, $F$11)</f>
        <v>8.9419000000000004</v>
      </c>
      <c r="H285" s="4">
        <f>CHOOSE( CONTROL!$C$32, 9.8935, 9.8913) * CHOOSE(CONTROL!$C$15, $D$11, 100%, $F$11)</f>
        <v>9.8934999999999995</v>
      </c>
      <c r="I285" s="8">
        <f>CHOOSE( CONTROL!$C$32, 8.8884, 8.8862) * CHOOSE(CONTROL!$C$15, $D$11, 100%, $F$11)</f>
        <v>8.8884000000000007</v>
      </c>
      <c r="J285" s="4">
        <f>CHOOSE( CONTROL!$C$32, 8.7713, 8.7691) * CHOOSE(CONTROL!$C$15, $D$11, 100%, $F$11)</f>
        <v>8.7713000000000001</v>
      </c>
      <c r="K285" s="4"/>
      <c r="L285" s="9">
        <v>30.7165</v>
      </c>
      <c r="M285" s="9">
        <v>12.063700000000001</v>
      </c>
      <c r="N285" s="9">
        <v>4.9444999999999997</v>
      </c>
      <c r="O285" s="9">
        <v>0.37409999999999999</v>
      </c>
      <c r="P285" s="9">
        <v>1.2183999999999999</v>
      </c>
      <c r="Q285" s="9">
        <v>30.5152</v>
      </c>
      <c r="R285" s="9"/>
      <c r="S285" s="11"/>
    </row>
    <row r="286" spans="1:19" ht="15.75">
      <c r="A286" s="14">
        <v>50192</v>
      </c>
      <c r="B286" s="8">
        <f>CHOOSE( CONTROL!$C$32, 9.0039, 9.0016) * CHOOSE(CONTROL!$C$15, $D$11, 100%, $F$11)</f>
        <v>9.0038999999999998</v>
      </c>
      <c r="C286" s="8">
        <f>CHOOSE( CONTROL!$C$32, 9.0145, 9.0122) * CHOOSE(CONTROL!$C$15, $D$11, 100%, $F$11)</f>
        <v>9.0145</v>
      </c>
      <c r="D286" s="8">
        <f>CHOOSE( CONTROL!$C$32, 9.0485, 9.0462) * CHOOSE( CONTROL!$C$15, $D$11, 100%, $F$11)</f>
        <v>9.0485000000000007</v>
      </c>
      <c r="E286" s="12">
        <f>CHOOSE( CONTROL!$C$32, 9.0346, 9.0323) * CHOOSE( CONTROL!$C$15, $D$11, 100%, $F$11)</f>
        <v>9.0345999999999993</v>
      </c>
      <c r="F286" s="4">
        <f>CHOOSE( CONTROL!$C$32, 9.7329, 9.7306) * CHOOSE(CONTROL!$C$15, $D$11, 100%, $F$11)</f>
        <v>9.7329000000000008</v>
      </c>
      <c r="G286" s="8">
        <f>CHOOSE( CONTROL!$C$32, 8.7986, 8.7964) * CHOOSE( CONTROL!$C$15, $D$11, 100%, $F$11)</f>
        <v>8.7986000000000004</v>
      </c>
      <c r="H286" s="4">
        <f>CHOOSE( CONTROL!$C$32, 9.75, 9.7477) * CHOOSE(CONTROL!$C$15, $D$11, 100%, $F$11)</f>
        <v>9.75</v>
      </c>
      <c r="I286" s="8">
        <f>CHOOSE( CONTROL!$C$32, 8.7481, 8.7459) * CHOOSE(CONTROL!$C$15, $D$11, 100%, $F$11)</f>
        <v>8.7481000000000009</v>
      </c>
      <c r="J286" s="4">
        <f>CHOOSE( CONTROL!$C$32, 8.6303, 8.6281) * CHOOSE(CONTROL!$C$15, $D$11, 100%, $F$11)</f>
        <v>8.6303000000000001</v>
      </c>
      <c r="K286" s="4"/>
      <c r="L286" s="9">
        <v>29.7257</v>
      </c>
      <c r="M286" s="9">
        <v>11.6745</v>
      </c>
      <c r="N286" s="9">
        <v>4.7850000000000001</v>
      </c>
      <c r="O286" s="9">
        <v>0.36199999999999999</v>
      </c>
      <c r="P286" s="9">
        <v>1.1791</v>
      </c>
      <c r="Q286" s="9">
        <v>29.530799999999999</v>
      </c>
      <c r="R286" s="9"/>
      <c r="S286" s="11"/>
    </row>
    <row r="287" spans="1:19" ht="15.75">
      <c r="A287" s="14">
        <v>50222</v>
      </c>
      <c r="B287" s="8">
        <f>CHOOSE( CONTROL!$C$32, 9.3906, 9.3883) * CHOOSE(CONTROL!$C$15, $D$11, 100%, $F$11)</f>
        <v>9.3905999999999992</v>
      </c>
      <c r="C287" s="8">
        <f>CHOOSE( CONTROL!$C$32, 9.4012, 9.3989) * CHOOSE(CONTROL!$C$15, $D$11, 100%, $F$11)</f>
        <v>9.4011999999999993</v>
      </c>
      <c r="D287" s="8">
        <f>CHOOSE( CONTROL!$C$32, 9.4354, 9.4331) * CHOOSE( CONTROL!$C$15, $D$11, 100%, $F$11)</f>
        <v>9.4353999999999996</v>
      </c>
      <c r="E287" s="12">
        <f>CHOOSE( CONTROL!$C$32, 9.4214, 9.4191) * CHOOSE( CONTROL!$C$15, $D$11, 100%, $F$11)</f>
        <v>9.4214000000000002</v>
      </c>
      <c r="F287" s="4">
        <f>CHOOSE( CONTROL!$C$32, 10.1196, 10.1173) * CHOOSE(CONTROL!$C$15, $D$11, 100%, $F$11)</f>
        <v>10.1196</v>
      </c>
      <c r="G287" s="8">
        <f>CHOOSE( CONTROL!$C$32, 9.177, 9.1748) * CHOOSE( CONTROL!$C$15, $D$11, 100%, $F$11)</f>
        <v>9.1769999999999996</v>
      </c>
      <c r="H287" s="4">
        <f>CHOOSE( CONTROL!$C$32, 10.128, 10.1258) * CHOOSE(CONTROL!$C$15, $D$11, 100%, $F$11)</f>
        <v>10.128</v>
      </c>
      <c r="I287" s="8">
        <f>CHOOSE( CONTROL!$C$32, 9.1205, 9.1183) * CHOOSE(CONTROL!$C$15, $D$11, 100%, $F$11)</f>
        <v>9.1204999999999998</v>
      </c>
      <c r="J287" s="4">
        <f>CHOOSE( CONTROL!$C$32, 9.0016, 8.9994) * CHOOSE(CONTROL!$C$15, $D$11, 100%, $F$11)</f>
        <v>9.0015999999999998</v>
      </c>
      <c r="K287" s="4"/>
      <c r="L287" s="9">
        <v>30.7165</v>
      </c>
      <c r="M287" s="9">
        <v>12.063700000000001</v>
      </c>
      <c r="N287" s="9">
        <v>4.9444999999999997</v>
      </c>
      <c r="O287" s="9">
        <v>0.37409999999999999</v>
      </c>
      <c r="P287" s="9">
        <v>1.2183999999999999</v>
      </c>
      <c r="Q287" s="9">
        <v>30.5152</v>
      </c>
      <c r="R287" s="9"/>
      <c r="S287" s="11"/>
    </row>
    <row r="288" spans="1:19" ht="15.75">
      <c r="A288" s="14">
        <v>50253</v>
      </c>
      <c r="B288" s="8">
        <f>CHOOSE( CONTROL!$C$32, 8.6671, 8.6648) * CHOOSE(CONTROL!$C$15, $D$11, 100%, $F$11)</f>
        <v>8.6670999999999996</v>
      </c>
      <c r="C288" s="8">
        <f>CHOOSE( CONTROL!$C$32, 8.6776, 8.6753) * CHOOSE(CONTROL!$C$15, $D$11, 100%, $F$11)</f>
        <v>8.6776</v>
      </c>
      <c r="D288" s="8">
        <f>CHOOSE( CONTROL!$C$32, 8.7119, 8.7096) * CHOOSE( CONTROL!$C$15, $D$11, 100%, $F$11)</f>
        <v>8.7119</v>
      </c>
      <c r="E288" s="12">
        <f>CHOOSE( CONTROL!$C$32, 8.6979, 8.6956) * CHOOSE( CONTROL!$C$15, $D$11, 100%, $F$11)</f>
        <v>8.6979000000000006</v>
      </c>
      <c r="F288" s="4">
        <f>CHOOSE( CONTROL!$C$32, 9.396, 9.3937) * CHOOSE(CONTROL!$C$15, $D$11, 100%, $F$11)</f>
        <v>9.3960000000000008</v>
      </c>
      <c r="G288" s="8">
        <f>CHOOSE( CONTROL!$C$32, 8.4697, 8.4674) * CHOOSE( CONTROL!$C$15, $D$11, 100%, $F$11)</f>
        <v>8.4696999999999996</v>
      </c>
      <c r="H288" s="4">
        <f>CHOOSE( CONTROL!$C$32, 9.4206, 9.4184) * CHOOSE(CONTROL!$C$15, $D$11, 100%, $F$11)</f>
        <v>9.4206000000000003</v>
      </c>
      <c r="I288" s="8">
        <f>CHOOSE( CONTROL!$C$32, 8.4258, 8.4236) * CHOOSE(CONTROL!$C$15, $D$11, 100%, $F$11)</f>
        <v>8.4258000000000006</v>
      </c>
      <c r="J288" s="4">
        <f>CHOOSE( CONTROL!$C$32, 8.3069, 8.3047) * CHOOSE(CONTROL!$C$15, $D$11, 100%, $F$11)</f>
        <v>8.3069000000000006</v>
      </c>
      <c r="K288" s="4"/>
      <c r="L288" s="9">
        <v>30.7165</v>
      </c>
      <c r="M288" s="9">
        <v>12.063700000000001</v>
      </c>
      <c r="N288" s="9">
        <v>4.9444999999999997</v>
      </c>
      <c r="O288" s="9">
        <v>0.37409999999999999</v>
      </c>
      <c r="P288" s="9">
        <v>1.2183999999999999</v>
      </c>
      <c r="Q288" s="9">
        <v>30.5152</v>
      </c>
      <c r="R288" s="9"/>
      <c r="S288" s="11"/>
    </row>
    <row r="289" spans="1:19" ht="15.75">
      <c r="A289" s="14">
        <v>50284</v>
      </c>
      <c r="B289" s="8">
        <f>CHOOSE( CONTROL!$C$32, 8.4859, 8.4836) * CHOOSE(CONTROL!$C$15, $D$11, 100%, $F$11)</f>
        <v>8.4859000000000009</v>
      </c>
      <c r="C289" s="8">
        <f>CHOOSE( CONTROL!$C$32, 8.4965, 8.4942) * CHOOSE(CONTROL!$C$15, $D$11, 100%, $F$11)</f>
        <v>8.4964999999999993</v>
      </c>
      <c r="D289" s="8">
        <f>CHOOSE( CONTROL!$C$32, 8.5307, 8.5284) * CHOOSE( CONTROL!$C$15, $D$11, 100%, $F$11)</f>
        <v>8.5306999999999995</v>
      </c>
      <c r="E289" s="12">
        <f>CHOOSE( CONTROL!$C$32, 8.5167, 8.5144) * CHOOSE( CONTROL!$C$15, $D$11, 100%, $F$11)</f>
        <v>8.5167000000000002</v>
      </c>
      <c r="F289" s="4">
        <f>CHOOSE( CONTROL!$C$32, 9.2148, 9.2125) * CHOOSE(CONTROL!$C$15, $D$11, 100%, $F$11)</f>
        <v>9.2148000000000003</v>
      </c>
      <c r="G289" s="8">
        <f>CHOOSE( CONTROL!$C$32, 8.2925, 8.2902) * CHOOSE( CONTROL!$C$15, $D$11, 100%, $F$11)</f>
        <v>8.2925000000000004</v>
      </c>
      <c r="H289" s="4">
        <f>CHOOSE( CONTROL!$C$32, 9.2435, 9.2412) * CHOOSE(CONTROL!$C$15, $D$11, 100%, $F$11)</f>
        <v>9.2434999999999992</v>
      </c>
      <c r="I289" s="8">
        <f>CHOOSE( CONTROL!$C$32, 8.2516, 8.2494) * CHOOSE(CONTROL!$C$15, $D$11, 100%, $F$11)</f>
        <v>8.2515999999999998</v>
      </c>
      <c r="J289" s="4">
        <f>CHOOSE( CONTROL!$C$32, 8.133, 8.1308) * CHOOSE(CONTROL!$C$15, $D$11, 100%, $F$11)</f>
        <v>8.1329999999999991</v>
      </c>
      <c r="K289" s="4"/>
      <c r="L289" s="9">
        <v>29.7257</v>
      </c>
      <c r="M289" s="9">
        <v>11.6745</v>
      </c>
      <c r="N289" s="9">
        <v>4.7850000000000001</v>
      </c>
      <c r="O289" s="9">
        <v>0.36199999999999999</v>
      </c>
      <c r="P289" s="9">
        <v>1.1791</v>
      </c>
      <c r="Q289" s="9">
        <v>29.530799999999999</v>
      </c>
      <c r="R289" s="9"/>
      <c r="S289" s="11"/>
    </row>
    <row r="290" spans="1:19" ht="15.75">
      <c r="A290" s="14">
        <v>50314</v>
      </c>
      <c r="B290" s="8">
        <f>8.8599 * CHOOSE(CONTROL!$C$15, $D$11, 100%, $F$11)</f>
        <v>8.8598999999999997</v>
      </c>
      <c r="C290" s="8">
        <f>8.8707 * CHOOSE(CONTROL!$C$15, $D$11, 100%, $F$11)</f>
        <v>8.8706999999999994</v>
      </c>
      <c r="D290" s="8">
        <f>8.9061 * CHOOSE( CONTROL!$C$15, $D$11, 100%, $F$11)</f>
        <v>8.9061000000000003</v>
      </c>
      <c r="E290" s="12">
        <f>8.8933 * CHOOSE( CONTROL!$C$15, $D$11, 100%, $F$11)</f>
        <v>8.8933</v>
      </c>
      <c r="F290" s="4">
        <f>9.5887 * CHOOSE(CONTROL!$C$15, $D$11, 100%, $F$11)</f>
        <v>9.5886999999999993</v>
      </c>
      <c r="G290" s="8">
        <f>8.6579 * CHOOSE( CONTROL!$C$15, $D$11, 100%, $F$11)</f>
        <v>8.6578999999999997</v>
      </c>
      <c r="H290" s="4">
        <f>9.609 * CHOOSE(CONTROL!$C$15, $D$11, 100%, $F$11)</f>
        <v>9.609</v>
      </c>
      <c r="I290" s="8">
        <f>8.6117 * CHOOSE(CONTROL!$C$15, $D$11, 100%, $F$11)</f>
        <v>8.6117000000000008</v>
      </c>
      <c r="J290" s="4">
        <f>8.492 * CHOOSE(CONTROL!$C$15, $D$11, 100%, $F$11)</f>
        <v>8.4920000000000009</v>
      </c>
      <c r="K290" s="4"/>
      <c r="L290" s="9">
        <v>31.095300000000002</v>
      </c>
      <c r="M290" s="9">
        <v>12.063700000000001</v>
      </c>
      <c r="N290" s="9">
        <v>4.9444999999999997</v>
      </c>
      <c r="O290" s="9">
        <v>0.37409999999999999</v>
      </c>
      <c r="P290" s="9">
        <v>1.2183999999999999</v>
      </c>
      <c r="Q290" s="9">
        <v>30.5152</v>
      </c>
      <c r="R290" s="9"/>
      <c r="S290" s="11"/>
    </row>
    <row r="291" spans="1:19" ht="15.75">
      <c r="A291" s="14">
        <v>50345</v>
      </c>
      <c r="B291" s="8">
        <f>9.5543 * CHOOSE(CONTROL!$C$15, $D$11, 100%, $F$11)</f>
        <v>9.5542999999999996</v>
      </c>
      <c r="C291" s="8">
        <f>9.5651 * CHOOSE(CONTROL!$C$15, $D$11, 100%, $F$11)</f>
        <v>9.5650999999999993</v>
      </c>
      <c r="D291" s="8">
        <f>9.5411 * CHOOSE( CONTROL!$C$15, $D$11, 100%, $F$11)</f>
        <v>9.5411000000000001</v>
      </c>
      <c r="E291" s="12">
        <f>9.5487 * CHOOSE( CONTROL!$C$15, $D$11, 100%, $F$11)</f>
        <v>9.5487000000000002</v>
      </c>
      <c r="F291" s="4">
        <f>10.2154 * CHOOSE(CONTROL!$C$15, $D$11, 100%, $F$11)</f>
        <v>10.215400000000001</v>
      </c>
      <c r="G291" s="8">
        <f>9.3368 * CHOOSE( CONTROL!$C$15, $D$11, 100%, $F$11)</f>
        <v>9.3368000000000002</v>
      </c>
      <c r="H291" s="4">
        <f>10.2218 * CHOOSE(CONTROL!$C$15, $D$11, 100%, $F$11)</f>
        <v>10.2218</v>
      </c>
      <c r="I291" s="8">
        <f>9.322 * CHOOSE(CONTROL!$C$15, $D$11, 100%, $F$11)</f>
        <v>9.3219999999999992</v>
      </c>
      <c r="J291" s="4">
        <f>9.1587 * CHOOSE(CONTROL!$C$15, $D$11, 100%, $F$11)</f>
        <v>9.1586999999999996</v>
      </c>
      <c r="K291" s="4"/>
      <c r="L291" s="9">
        <v>28.360600000000002</v>
      </c>
      <c r="M291" s="9">
        <v>11.6745</v>
      </c>
      <c r="N291" s="9">
        <v>4.7850000000000001</v>
      </c>
      <c r="O291" s="9">
        <v>0.36199999999999999</v>
      </c>
      <c r="P291" s="9">
        <v>1.2509999999999999</v>
      </c>
      <c r="Q291" s="9">
        <v>29.530799999999999</v>
      </c>
      <c r="R291" s="9"/>
      <c r="S291" s="11"/>
    </row>
    <row r="292" spans="1:19" ht="15.75">
      <c r="A292" s="14">
        <v>50375</v>
      </c>
      <c r="B292" s="8">
        <f>9.537 * CHOOSE(CONTROL!$C$15, $D$11, 100%, $F$11)</f>
        <v>9.5370000000000008</v>
      </c>
      <c r="C292" s="8">
        <f>9.5478 * CHOOSE(CONTROL!$C$15, $D$11, 100%, $F$11)</f>
        <v>9.5478000000000005</v>
      </c>
      <c r="D292" s="8">
        <f>9.5255 * CHOOSE( CONTROL!$C$15, $D$11, 100%, $F$11)</f>
        <v>9.5254999999999992</v>
      </c>
      <c r="E292" s="12">
        <f>9.5325 * CHOOSE( CONTROL!$C$15, $D$11, 100%, $F$11)</f>
        <v>9.5325000000000006</v>
      </c>
      <c r="F292" s="4">
        <f>10.1981 * CHOOSE(CONTROL!$C$15, $D$11, 100%, $F$11)</f>
        <v>10.1981</v>
      </c>
      <c r="G292" s="8">
        <f>9.321 * CHOOSE( CONTROL!$C$15, $D$11, 100%, $F$11)</f>
        <v>9.3209999999999997</v>
      </c>
      <c r="H292" s="4">
        <f>10.2048 * CHOOSE(CONTROL!$C$15, $D$11, 100%, $F$11)</f>
        <v>10.204800000000001</v>
      </c>
      <c r="I292" s="8">
        <f>9.3106 * CHOOSE(CONTROL!$C$15, $D$11, 100%, $F$11)</f>
        <v>9.3106000000000009</v>
      </c>
      <c r="J292" s="4">
        <f>9.142 * CHOOSE(CONTROL!$C$15, $D$11, 100%, $F$11)</f>
        <v>9.1419999999999995</v>
      </c>
      <c r="K292" s="4"/>
      <c r="L292" s="9">
        <v>29.306000000000001</v>
      </c>
      <c r="M292" s="9">
        <v>12.063700000000001</v>
      </c>
      <c r="N292" s="9">
        <v>4.9444999999999997</v>
      </c>
      <c r="O292" s="9">
        <v>0.37409999999999999</v>
      </c>
      <c r="P292" s="9">
        <v>1.2927</v>
      </c>
      <c r="Q292" s="9">
        <v>30.5152</v>
      </c>
      <c r="R292" s="9"/>
      <c r="S292" s="11"/>
    </row>
    <row r="293" spans="1:19" ht="15.75">
      <c r="A293" s="13">
        <v>50436</v>
      </c>
      <c r="B293" s="8">
        <f>9.8179 * CHOOSE(CONTROL!$C$15, $D$11, 100%, $F$11)</f>
        <v>9.8178999999999998</v>
      </c>
      <c r="C293" s="8">
        <f>9.8286 * CHOOSE(CONTROL!$C$15, $D$11, 100%, $F$11)</f>
        <v>9.8285999999999998</v>
      </c>
      <c r="D293" s="8">
        <f>9.8102 * CHOOSE( CONTROL!$C$15, $D$11, 100%, $F$11)</f>
        <v>9.8102</v>
      </c>
      <c r="E293" s="12">
        <f>9.8158 * CHOOSE( CONTROL!$C$15, $D$11, 100%, $F$11)</f>
        <v>9.8157999999999994</v>
      </c>
      <c r="F293" s="4">
        <f>10.479 * CHOOSE(CONTROL!$C$15, $D$11, 100%, $F$11)</f>
        <v>10.478999999999999</v>
      </c>
      <c r="G293" s="8">
        <f>9.5912 * CHOOSE( CONTROL!$C$15, $D$11, 100%, $F$11)</f>
        <v>9.5912000000000006</v>
      </c>
      <c r="H293" s="4">
        <f>10.4794 * CHOOSE(CONTROL!$C$15, $D$11, 100%, $F$11)</f>
        <v>10.4794</v>
      </c>
      <c r="I293" s="8">
        <f>9.5357 * CHOOSE(CONTROL!$C$15, $D$11, 100%, $F$11)</f>
        <v>9.5357000000000003</v>
      </c>
      <c r="J293" s="4">
        <f>9.4117 * CHOOSE(CONTROL!$C$15, $D$11, 100%, $F$11)</f>
        <v>9.4116999999999997</v>
      </c>
      <c r="K293" s="4"/>
      <c r="L293" s="9">
        <v>29.306000000000001</v>
      </c>
      <c r="M293" s="9">
        <v>12.063700000000001</v>
      </c>
      <c r="N293" s="9">
        <v>4.9444999999999997</v>
      </c>
      <c r="O293" s="9">
        <v>0.37409999999999999</v>
      </c>
      <c r="P293" s="9">
        <v>1.2927</v>
      </c>
      <c r="Q293" s="9">
        <v>30.451899999999998</v>
      </c>
      <c r="R293" s="9"/>
      <c r="S293" s="11"/>
    </row>
    <row r="294" spans="1:19" ht="15.75">
      <c r="A294" s="13">
        <v>50464</v>
      </c>
      <c r="B294" s="8">
        <f>9.1841 * CHOOSE(CONTROL!$C$15, $D$11, 100%, $F$11)</f>
        <v>9.1841000000000008</v>
      </c>
      <c r="C294" s="8">
        <f>9.1949 * CHOOSE(CONTROL!$C$15, $D$11, 100%, $F$11)</f>
        <v>9.1949000000000005</v>
      </c>
      <c r="D294" s="8">
        <f>9.1763 * CHOOSE( CONTROL!$C$15, $D$11, 100%, $F$11)</f>
        <v>9.1762999999999995</v>
      </c>
      <c r="E294" s="12">
        <f>9.182 * CHOOSE( CONTROL!$C$15, $D$11, 100%, $F$11)</f>
        <v>9.1820000000000004</v>
      </c>
      <c r="F294" s="4">
        <f>9.8452 * CHOOSE(CONTROL!$C$15, $D$11, 100%, $F$11)</f>
        <v>9.8452000000000002</v>
      </c>
      <c r="G294" s="8">
        <f>8.9715 * CHOOSE( CONTROL!$C$15, $D$11, 100%, $F$11)</f>
        <v>8.9715000000000007</v>
      </c>
      <c r="H294" s="4">
        <f>9.8598 * CHOOSE(CONTROL!$C$15, $D$11, 100%, $F$11)</f>
        <v>9.8597999999999999</v>
      </c>
      <c r="I294" s="8">
        <f>8.9265 * CHOOSE(CONTROL!$C$15, $D$11, 100%, $F$11)</f>
        <v>8.9265000000000008</v>
      </c>
      <c r="J294" s="4">
        <f>8.8032 * CHOOSE(CONTROL!$C$15, $D$11, 100%, $F$11)</f>
        <v>8.8032000000000004</v>
      </c>
      <c r="K294" s="4"/>
      <c r="L294" s="9">
        <v>26.469899999999999</v>
      </c>
      <c r="M294" s="9">
        <v>10.8962</v>
      </c>
      <c r="N294" s="9">
        <v>4.4660000000000002</v>
      </c>
      <c r="O294" s="9">
        <v>0.33789999999999998</v>
      </c>
      <c r="P294" s="9">
        <v>1.1676</v>
      </c>
      <c r="Q294" s="9">
        <v>27.504999999999999</v>
      </c>
      <c r="R294" s="9"/>
      <c r="S294" s="11"/>
    </row>
    <row r="295" spans="1:19" ht="15.75">
      <c r="A295" s="13">
        <v>50495</v>
      </c>
      <c r="B295" s="8">
        <f>8.9889 * CHOOSE(CONTROL!$C$15, $D$11, 100%, $F$11)</f>
        <v>8.9888999999999992</v>
      </c>
      <c r="C295" s="8">
        <f>8.9997 * CHOOSE(CONTROL!$C$15, $D$11, 100%, $F$11)</f>
        <v>8.9997000000000007</v>
      </c>
      <c r="D295" s="8">
        <f>8.9806 * CHOOSE( CONTROL!$C$15, $D$11, 100%, $F$11)</f>
        <v>8.9806000000000008</v>
      </c>
      <c r="E295" s="12">
        <f>8.9864 * CHOOSE( CONTROL!$C$15, $D$11, 100%, $F$11)</f>
        <v>8.9863999999999997</v>
      </c>
      <c r="F295" s="4">
        <f>9.65 * CHOOSE(CONTROL!$C$15, $D$11, 100%, $F$11)</f>
        <v>9.65</v>
      </c>
      <c r="G295" s="8">
        <f>8.7803 * CHOOSE( CONTROL!$C$15, $D$11, 100%, $F$11)</f>
        <v>8.7803000000000004</v>
      </c>
      <c r="H295" s="4">
        <f>9.669 * CHOOSE(CONTROL!$C$15, $D$11, 100%, $F$11)</f>
        <v>9.6690000000000005</v>
      </c>
      <c r="I295" s="8">
        <f>8.7375 * CHOOSE(CONTROL!$C$15, $D$11, 100%, $F$11)</f>
        <v>8.7375000000000007</v>
      </c>
      <c r="J295" s="4">
        <f>8.6158 * CHOOSE(CONTROL!$C$15, $D$11, 100%, $F$11)</f>
        <v>8.6158000000000001</v>
      </c>
      <c r="K295" s="4"/>
      <c r="L295" s="9">
        <v>29.306000000000001</v>
      </c>
      <c r="M295" s="9">
        <v>12.063700000000001</v>
      </c>
      <c r="N295" s="9">
        <v>4.9444999999999997</v>
      </c>
      <c r="O295" s="9">
        <v>0.37409999999999999</v>
      </c>
      <c r="P295" s="9">
        <v>1.2927</v>
      </c>
      <c r="Q295" s="9">
        <v>30.451899999999998</v>
      </c>
      <c r="R295" s="9"/>
      <c r="S295" s="11"/>
    </row>
    <row r="296" spans="1:19" ht="15.75">
      <c r="A296" s="13">
        <v>50525</v>
      </c>
      <c r="B296" s="8">
        <f>9.1253 * CHOOSE(CONTROL!$C$15, $D$11, 100%, $F$11)</f>
        <v>9.1252999999999993</v>
      </c>
      <c r="C296" s="8">
        <f>9.1361 * CHOOSE(CONTROL!$C$15, $D$11, 100%, $F$11)</f>
        <v>9.1361000000000008</v>
      </c>
      <c r="D296" s="8">
        <f>9.1708 * CHOOSE( CONTROL!$C$15, $D$11, 100%, $F$11)</f>
        <v>9.1707999999999998</v>
      </c>
      <c r="E296" s="12">
        <f>9.1581 * CHOOSE( CONTROL!$C$15, $D$11, 100%, $F$11)</f>
        <v>9.1580999999999992</v>
      </c>
      <c r="F296" s="4">
        <f>9.8541 * CHOOSE(CONTROL!$C$15, $D$11, 100%, $F$11)</f>
        <v>9.8541000000000007</v>
      </c>
      <c r="G296" s="8">
        <f>8.9164 * CHOOSE( CONTROL!$C$15, $D$11, 100%, $F$11)</f>
        <v>8.9163999999999994</v>
      </c>
      <c r="H296" s="4">
        <f>9.8685 * CHOOSE(CONTROL!$C$15, $D$11, 100%, $F$11)</f>
        <v>9.8684999999999992</v>
      </c>
      <c r="I296" s="8">
        <f>8.8637 * CHOOSE(CONTROL!$C$15, $D$11, 100%, $F$11)</f>
        <v>8.8636999999999997</v>
      </c>
      <c r="J296" s="4">
        <f>8.7468 * CHOOSE(CONTROL!$C$15, $D$11, 100%, $F$11)</f>
        <v>8.7468000000000004</v>
      </c>
      <c r="K296" s="4"/>
      <c r="L296" s="9">
        <v>30.092199999999998</v>
      </c>
      <c r="M296" s="9">
        <v>11.6745</v>
      </c>
      <c r="N296" s="9">
        <v>4.7850000000000001</v>
      </c>
      <c r="O296" s="9">
        <v>0.36199999999999999</v>
      </c>
      <c r="P296" s="9">
        <v>1.1791</v>
      </c>
      <c r="Q296" s="9">
        <v>29.4696</v>
      </c>
      <c r="R296" s="9"/>
      <c r="S296" s="11"/>
    </row>
    <row r="297" spans="1:19" ht="15.75">
      <c r="A297" s="13">
        <v>50556</v>
      </c>
      <c r="B297" s="8">
        <f>CHOOSE( CONTROL!$C$32, 9.3702, 9.3679) * CHOOSE(CONTROL!$C$15, $D$11, 100%, $F$11)</f>
        <v>9.3702000000000005</v>
      </c>
      <c r="C297" s="8">
        <f>CHOOSE( CONTROL!$C$32, 9.3808, 9.3785) * CHOOSE(CONTROL!$C$15, $D$11, 100%, $F$11)</f>
        <v>9.3808000000000007</v>
      </c>
      <c r="D297" s="8">
        <f>CHOOSE( CONTROL!$C$32, 9.4146, 9.4123) * CHOOSE( CONTROL!$C$15, $D$11, 100%, $F$11)</f>
        <v>9.4146000000000001</v>
      </c>
      <c r="E297" s="12">
        <f>CHOOSE( CONTROL!$C$32, 9.4007, 9.3984) * CHOOSE( CONTROL!$C$15, $D$11, 100%, $F$11)</f>
        <v>9.4007000000000005</v>
      </c>
      <c r="F297" s="4">
        <f>CHOOSE( CONTROL!$C$32, 10.0992, 10.0969) * CHOOSE(CONTROL!$C$15, $D$11, 100%, $F$11)</f>
        <v>10.0992</v>
      </c>
      <c r="G297" s="8">
        <f>CHOOSE( CONTROL!$C$32, 9.1565, 9.1543) * CHOOSE( CONTROL!$C$15, $D$11, 100%, $F$11)</f>
        <v>9.1564999999999994</v>
      </c>
      <c r="H297" s="4">
        <f>CHOOSE( CONTROL!$C$32, 10.1081, 10.1058) * CHOOSE(CONTROL!$C$15, $D$11, 100%, $F$11)</f>
        <v>10.1081</v>
      </c>
      <c r="I297" s="8">
        <f>CHOOSE( CONTROL!$C$32, 9.0992, 9.097) * CHOOSE(CONTROL!$C$15, $D$11, 100%, $F$11)</f>
        <v>9.0991999999999997</v>
      </c>
      <c r="J297" s="4">
        <f>CHOOSE( CONTROL!$C$32, 8.982, 8.9798) * CHOOSE(CONTROL!$C$15, $D$11, 100%, $F$11)</f>
        <v>8.9819999999999993</v>
      </c>
      <c r="K297" s="4"/>
      <c r="L297" s="9">
        <v>30.7165</v>
      </c>
      <c r="M297" s="9">
        <v>12.063700000000001</v>
      </c>
      <c r="N297" s="9">
        <v>4.9444999999999997</v>
      </c>
      <c r="O297" s="9">
        <v>0.37409999999999999</v>
      </c>
      <c r="P297" s="9">
        <v>1.2183999999999999</v>
      </c>
      <c r="Q297" s="9">
        <v>30.451899999999998</v>
      </c>
      <c r="R297" s="9"/>
      <c r="S297" s="11"/>
    </row>
    <row r="298" spans="1:19" ht="15.75">
      <c r="A298" s="13">
        <v>50586</v>
      </c>
      <c r="B298" s="8">
        <f>CHOOSE( CONTROL!$C$32, 9.2199, 9.2176) * CHOOSE(CONTROL!$C$15, $D$11, 100%, $F$11)</f>
        <v>9.2199000000000009</v>
      </c>
      <c r="C298" s="8">
        <f>CHOOSE( CONTROL!$C$32, 9.2304, 9.2281) * CHOOSE(CONTROL!$C$15, $D$11, 100%, $F$11)</f>
        <v>9.2303999999999995</v>
      </c>
      <c r="D298" s="8">
        <f>CHOOSE( CONTROL!$C$32, 9.2644, 9.2621) * CHOOSE( CONTROL!$C$15, $D$11, 100%, $F$11)</f>
        <v>9.2644000000000002</v>
      </c>
      <c r="E298" s="12">
        <f>CHOOSE( CONTROL!$C$32, 9.2505, 9.2482) * CHOOSE( CONTROL!$C$15, $D$11, 100%, $F$11)</f>
        <v>9.2505000000000006</v>
      </c>
      <c r="F298" s="4">
        <f>CHOOSE( CONTROL!$C$32, 9.9488, 9.9465) * CHOOSE(CONTROL!$C$15, $D$11, 100%, $F$11)</f>
        <v>9.9488000000000003</v>
      </c>
      <c r="G298" s="8">
        <f>CHOOSE( CONTROL!$C$32, 9.0097, 9.0075) * CHOOSE( CONTROL!$C$15, $D$11, 100%, $F$11)</f>
        <v>9.0097000000000005</v>
      </c>
      <c r="H298" s="4">
        <f>CHOOSE( CONTROL!$C$32, 9.9611, 9.9588) * CHOOSE(CONTROL!$C$15, $D$11, 100%, $F$11)</f>
        <v>9.9611000000000001</v>
      </c>
      <c r="I298" s="8">
        <f>CHOOSE( CONTROL!$C$32, 8.9555, 8.9533) * CHOOSE(CONTROL!$C$15, $D$11, 100%, $F$11)</f>
        <v>8.9555000000000007</v>
      </c>
      <c r="J298" s="4">
        <f>CHOOSE( CONTROL!$C$32, 8.8377, 8.8355) * CHOOSE(CONTROL!$C$15, $D$11, 100%, $F$11)</f>
        <v>8.8376999999999999</v>
      </c>
      <c r="K298" s="4"/>
      <c r="L298" s="9">
        <v>29.7257</v>
      </c>
      <c r="M298" s="9">
        <v>11.6745</v>
      </c>
      <c r="N298" s="9">
        <v>4.7850000000000001</v>
      </c>
      <c r="O298" s="9">
        <v>0.36199999999999999</v>
      </c>
      <c r="P298" s="9">
        <v>1.1791</v>
      </c>
      <c r="Q298" s="9">
        <v>29.4696</v>
      </c>
      <c r="R298" s="9"/>
      <c r="S298" s="11"/>
    </row>
    <row r="299" spans="1:19" ht="15.75">
      <c r="A299" s="13">
        <v>50617</v>
      </c>
      <c r="B299" s="8">
        <f>CHOOSE( CONTROL!$C$32, 9.6159, 9.6136) * CHOOSE(CONTROL!$C$15, $D$11, 100%, $F$11)</f>
        <v>9.6158999999999999</v>
      </c>
      <c r="C299" s="8">
        <f>CHOOSE( CONTROL!$C$32, 9.6264, 9.6241) * CHOOSE(CONTROL!$C$15, $D$11, 100%, $F$11)</f>
        <v>9.6264000000000003</v>
      </c>
      <c r="D299" s="8">
        <f>CHOOSE( CONTROL!$C$32, 9.6606, 9.6583) * CHOOSE( CONTROL!$C$15, $D$11, 100%, $F$11)</f>
        <v>9.6606000000000005</v>
      </c>
      <c r="E299" s="12">
        <f>CHOOSE( CONTROL!$C$32, 9.6466, 9.6443) * CHOOSE( CONTROL!$C$15, $D$11, 100%, $F$11)</f>
        <v>9.6465999999999994</v>
      </c>
      <c r="F299" s="4">
        <f>CHOOSE( CONTROL!$C$32, 10.3448, 10.3425) * CHOOSE(CONTROL!$C$15, $D$11, 100%, $F$11)</f>
        <v>10.344799999999999</v>
      </c>
      <c r="G299" s="8">
        <f>CHOOSE( CONTROL!$C$32, 9.3972, 9.395) * CHOOSE( CONTROL!$C$15, $D$11, 100%, $F$11)</f>
        <v>9.3971999999999998</v>
      </c>
      <c r="H299" s="4">
        <f>CHOOSE( CONTROL!$C$32, 10.3482, 10.346) * CHOOSE(CONTROL!$C$15, $D$11, 100%, $F$11)</f>
        <v>10.3482</v>
      </c>
      <c r="I299" s="8">
        <f>CHOOSE( CONTROL!$C$32, 9.3369, 9.3347) * CHOOSE(CONTROL!$C$15, $D$11, 100%, $F$11)</f>
        <v>9.3369</v>
      </c>
      <c r="J299" s="4">
        <f>CHOOSE( CONTROL!$C$32, 9.2179, 9.2156) * CHOOSE(CONTROL!$C$15, $D$11, 100%, $F$11)</f>
        <v>9.2179000000000002</v>
      </c>
      <c r="K299" s="4"/>
      <c r="L299" s="9">
        <v>30.7165</v>
      </c>
      <c r="M299" s="9">
        <v>12.063700000000001</v>
      </c>
      <c r="N299" s="9">
        <v>4.9444999999999997</v>
      </c>
      <c r="O299" s="9">
        <v>0.37409999999999999</v>
      </c>
      <c r="P299" s="9">
        <v>1.2183999999999999</v>
      </c>
      <c r="Q299" s="9">
        <v>30.451899999999998</v>
      </c>
      <c r="R299" s="9"/>
      <c r="S299" s="11"/>
    </row>
    <row r="300" spans="1:19" ht="15.75">
      <c r="A300" s="13">
        <v>50648</v>
      </c>
      <c r="B300" s="8">
        <f>CHOOSE( CONTROL!$C$32, 8.8749, 8.8726) * CHOOSE(CONTROL!$C$15, $D$11, 100%, $F$11)</f>
        <v>8.8749000000000002</v>
      </c>
      <c r="C300" s="8">
        <f>CHOOSE( CONTROL!$C$32, 8.8855, 8.8832) * CHOOSE(CONTROL!$C$15, $D$11, 100%, $F$11)</f>
        <v>8.8855000000000004</v>
      </c>
      <c r="D300" s="8">
        <f>CHOOSE( CONTROL!$C$32, 8.9197, 8.9174) * CHOOSE( CONTROL!$C$15, $D$11, 100%, $F$11)</f>
        <v>8.9197000000000006</v>
      </c>
      <c r="E300" s="12">
        <f>CHOOSE( CONTROL!$C$32, 8.9057, 8.9034) * CHOOSE( CONTROL!$C$15, $D$11, 100%, $F$11)</f>
        <v>8.9056999999999995</v>
      </c>
      <c r="F300" s="4">
        <f>CHOOSE( CONTROL!$C$32, 9.6039, 9.6016) * CHOOSE(CONTROL!$C$15, $D$11, 100%, $F$11)</f>
        <v>9.6038999999999994</v>
      </c>
      <c r="G300" s="8">
        <f>CHOOSE( CONTROL!$C$32, 8.6729, 8.6706) * CHOOSE( CONTROL!$C$15, $D$11, 100%, $F$11)</f>
        <v>8.6729000000000003</v>
      </c>
      <c r="H300" s="4">
        <f>CHOOSE( CONTROL!$C$32, 9.6238, 9.6216) * CHOOSE(CONTROL!$C$15, $D$11, 100%, $F$11)</f>
        <v>9.6237999999999992</v>
      </c>
      <c r="I300" s="8">
        <f>CHOOSE( CONTROL!$C$32, 8.6254, 8.6232) * CHOOSE(CONTROL!$C$15, $D$11, 100%, $F$11)</f>
        <v>8.6254000000000008</v>
      </c>
      <c r="J300" s="4">
        <f>CHOOSE( CONTROL!$C$32, 8.5065, 8.5043) * CHOOSE(CONTROL!$C$15, $D$11, 100%, $F$11)</f>
        <v>8.5065000000000008</v>
      </c>
      <c r="K300" s="4"/>
      <c r="L300" s="9">
        <v>30.7165</v>
      </c>
      <c r="M300" s="9">
        <v>12.063700000000001</v>
      </c>
      <c r="N300" s="9">
        <v>4.9444999999999997</v>
      </c>
      <c r="O300" s="9">
        <v>0.37409999999999999</v>
      </c>
      <c r="P300" s="9">
        <v>1.2183999999999999</v>
      </c>
      <c r="Q300" s="9">
        <v>30.451899999999998</v>
      </c>
      <c r="R300" s="9"/>
      <c r="S300" s="11"/>
    </row>
    <row r="301" spans="1:19" ht="15.75">
      <c r="A301" s="13">
        <v>50678</v>
      </c>
      <c r="B301" s="8">
        <f>CHOOSE( CONTROL!$C$32, 8.6894, 8.6871) * CHOOSE(CONTROL!$C$15, $D$11, 100%, $F$11)</f>
        <v>8.6893999999999991</v>
      </c>
      <c r="C301" s="8">
        <f>CHOOSE( CONTROL!$C$32, 8.6999, 8.6976) * CHOOSE(CONTROL!$C$15, $D$11, 100%, $F$11)</f>
        <v>8.6998999999999995</v>
      </c>
      <c r="D301" s="8">
        <f>CHOOSE( CONTROL!$C$32, 8.7342, 8.7319) * CHOOSE( CONTROL!$C$15, $D$11, 100%, $F$11)</f>
        <v>8.7341999999999995</v>
      </c>
      <c r="E301" s="12">
        <f>CHOOSE( CONTROL!$C$32, 8.7202, 8.7179) * CHOOSE( CONTROL!$C$15, $D$11, 100%, $F$11)</f>
        <v>8.7202000000000002</v>
      </c>
      <c r="F301" s="4">
        <f>CHOOSE( CONTROL!$C$32, 9.4183, 9.416) * CHOOSE(CONTROL!$C$15, $D$11, 100%, $F$11)</f>
        <v>9.4183000000000003</v>
      </c>
      <c r="G301" s="8">
        <f>CHOOSE( CONTROL!$C$32, 8.4914, 8.4892) * CHOOSE( CONTROL!$C$15, $D$11, 100%, $F$11)</f>
        <v>8.4914000000000005</v>
      </c>
      <c r="H301" s="4">
        <f>CHOOSE( CONTROL!$C$32, 9.4424, 9.4402) * CHOOSE(CONTROL!$C$15, $D$11, 100%, $F$11)</f>
        <v>9.4423999999999992</v>
      </c>
      <c r="I301" s="8">
        <f>CHOOSE( CONTROL!$C$32, 8.4471, 8.4449) * CHOOSE(CONTROL!$C$15, $D$11, 100%, $F$11)</f>
        <v>8.4471000000000007</v>
      </c>
      <c r="J301" s="4">
        <f>CHOOSE( CONTROL!$C$32, 8.3283, 8.3261) * CHOOSE(CONTROL!$C$15, $D$11, 100%, $F$11)</f>
        <v>8.3283000000000005</v>
      </c>
      <c r="K301" s="4"/>
      <c r="L301" s="9">
        <v>29.7257</v>
      </c>
      <c r="M301" s="9">
        <v>11.6745</v>
      </c>
      <c r="N301" s="9">
        <v>4.7850000000000001</v>
      </c>
      <c r="O301" s="9">
        <v>0.36199999999999999</v>
      </c>
      <c r="P301" s="9">
        <v>1.1791</v>
      </c>
      <c r="Q301" s="9">
        <v>29.4696</v>
      </c>
      <c r="R301" s="9"/>
      <c r="S301" s="11"/>
    </row>
    <row r="302" spans="1:19" ht="15.75">
      <c r="A302" s="13">
        <v>50709</v>
      </c>
      <c r="B302" s="8">
        <f>9.0724 * CHOOSE(CONTROL!$C$15, $D$11, 100%, $F$11)</f>
        <v>9.0724</v>
      </c>
      <c r="C302" s="8">
        <f>9.0832 * CHOOSE(CONTROL!$C$15, $D$11, 100%, $F$11)</f>
        <v>9.0831999999999997</v>
      </c>
      <c r="D302" s="8">
        <f>9.1186 * CHOOSE( CONTROL!$C$15, $D$11, 100%, $F$11)</f>
        <v>9.1186000000000007</v>
      </c>
      <c r="E302" s="12">
        <f>9.1058 * CHOOSE( CONTROL!$C$15, $D$11, 100%, $F$11)</f>
        <v>9.1058000000000003</v>
      </c>
      <c r="F302" s="4">
        <f>9.8013 * CHOOSE(CONTROL!$C$15, $D$11, 100%, $F$11)</f>
        <v>9.8012999999999995</v>
      </c>
      <c r="G302" s="8">
        <f>8.8657 * CHOOSE( CONTROL!$C$15, $D$11, 100%, $F$11)</f>
        <v>8.8657000000000004</v>
      </c>
      <c r="H302" s="4">
        <f>9.8168 * CHOOSE(CONTROL!$C$15, $D$11, 100%, $F$11)</f>
        <v>9.8168000000000006</v>
      </c>
      <c r="I302" s="8">
        <f>8.8158 * CHOOSE(CONTROL!$C$15, $D$11, 100%, $F$11)</f>
        <v>8.8157999999999994</v>
      </c>
      <c r="J302" s="4">
        <f>8.696 * CHOOSE(CONTROL!$C$15, $D$11, 100%, $F$11)</f>
        <v>8.6959999999999997</v>
      </c>
      <c r="K302" s="4"/>
      <c r="L302" s="9">
        <v>31.095300000000002</v>
      </c>
      <c r="M302" s="9">
        <v>12.063700000000001</v>
      </c>
      <c r="N302" s="9">
        <v>4.9444999999999997</v>
      </c>
      <c r="O302" s="9">
        <v>0.37409999999999999</v>
      </c>
      <c r="P302" s="9">
        <v>1.2183999999999999</v>
      </c>
      <c r="Q302" s="9">
        <v>30.451899999999998</v>
      </c>
      <c r="R302" s="9"/>
      <c r="S302" s="11"/>
    </row>
    <row r="303" spans="1:19" ht="15.75">
      <c r="A303" s="13">
        <v>50739</v>
      </c>
      <c r="B303" s="8">
        <f>9.7835 * CHOOSE(CONTROL!$C$15, $D$11, 100%, $F$11)</f>
        <v>9.7835000000000001</v>
      </c>
      <c r="C303" s="8">
        <f>9.7943 * CHOOSE(CONTROL!$C$15, $D$11, 100%, $F$11)</f>
        <v>9.7942999999999998</v>
      </c>
      <c r="D303" s="8">
        <f>9.7704 * CHOOSE( CONTROL!$C$15, $D$11, 100%, $F$11)</f>
        <v>9.7704000000000004</v>
      </c>
      <c r="E303" s="12">
        <f>9.778 * CHOOSE( CONTROL!$C$15, $D$11, 100%, $F$11)</f>
        <v>9.7780000000000005</v>
      </c>
      <c r="F303" s="4">
        <f>10.4447 * CHOOSE(CONTROL!$C$15, $D$11, 100%, $F$11)</f>
        <v>10.444699999999999</v>
      </c>
      <c r="G303" s="8">
        <f>9.5609 * CHOOSE( CONTROL!$C$15, $D$11, 100%, $F$11)</f>
        <v>9.5609000000000002</v>
      </c>
      <c r="H303" s="4">
        <f>10.4459 * CHOOSE(CONTROL!$C$15, $D$11, 100%, $F$11)</f>
        <v>10.4459</v>
      </c>
      <c r="I303" s="8">
        <f>9.5422 * CHOOSE(CONTROL!$C$15, $D$11, 100%, $F$11)</f>
        <v>9.5421999999999993</v>
      </c>
      <c r="J303" s="4">
        <f>9.3787 * CHOOSE(CONTROL!$C$15, $D$11, 100%, $F$11)</f>
        <v>9.3787000000000003</v>
      </c>
      <c r="K303" s="4"/>
      <c r="L303" s="9">
        <v>28.360600000000002</v>
      </c>
      <c r="M303" s="9">
        <v>11.6745</v>
      </c>
      <c r="N303" s="9">
        <v>4.7850000000000001</v>
      </c>
      <c r="O303" s="9">
        <v>0.36199999999999999</v>
      </c>
      <c r="P303" s="9">
        <v>1.2509999999999999</v>
      </c>
      <c r="Q303" s="9">
        <v>29.4696</v>
      </c>
      <c r="R303" s="9"/>
      <c r="S303" s="11"/>
    </row>
    <row r="304" spans="1:19" ht="15.75">
      <c r="A304" s="13">
        <v>50770</v>
      </c>
      <c r="B304" s="8">
        <f>9.7658 * CHOOSE(CONTROL!$C$15, $D$11, 100%, $F$11)</f>
        <v>9.7658000000000005</v>
      </c>
      <c r="C304" s="8">
        <f>9.7765 * CHOOSE(CONTROL!$C$15, $D$11, 100%, $F$11)</f>
        <v>9.7765000000000004</v>
      </c>
      <c r="D304" s="8">
        <f>9.7543 * CHOOSE( CONTROL!$C$15, $D$11, 100%, $F$11)</f>
        <v>9.7543000000000006</v>
      </c>
      <c r="E304" s="12">
        <f>9.7613 * CHOOSE( CONTROL!$C$15, $D$11, 100%, $F$11)</f>
        <v>9.7613000000000003</v>
      </c>
      <c r="F304" s="4">
        <f>10.4269 * CHOOSE(CONTROL!$C$15, $D$11, 100%, $F$11)</f>
        <v>10.4269</v>
      </c>
      <c r="G304" s="8">
        <f>9.5447 * CHOOSE( CONTROL!$C$15, $D$11, 100%, $F$11)</f>
        <v>9.5447000000000006</v>
      </c>
      <c r="H304" s="4">
        <f>10.4285 * CHOOSE(CONTROL!$C$15, $D$11, 100%, $F$11)</f>
        <v>10.4285</v>
      </c>
      <c r="I304" s="8">
        <f>9.5303 * CHOOSE(CONTROL!$C$15, $D$11, 100%, $F$11)</f>
        <v>9.5303000000000004</v>
      </c>
      <c r="J304" s="4">
        <f>9.3617 * CHOOSE(CONTROL!$C$15, $D$11, 100%, $F$11)</f>
        <v>9.3617000000000008</v>
      </c>
      <c r="K304" s="4"/>
      <c r="L304" s="9">
        <v>29.306000000000001</v>
      </c>
      <c r="M304" s="9">
        <v>12.063700000000001</v>
      </c>
      <c r="N304" s="9">
        <v>4.9444999999999997</v>
      </c>
      <c r="O304" s="9">
        <v>0.37409999999999999</v>
      </c>
      <c r="P304" s="9">
        <v>1.2927</v>
      </c>
      <c r="Q304" s="9">
        <v>30.451899999999998</v>
      </c>
      <c r="R304" s="9"/>
      <c r="S304" s="11"/>
    </row>
    <row r="305" spans="1:19" ht="15.75">
      <c r="A305" s="13">
        <v>50801</v>
      </c>
      <c r="B305" s="8">
        <f>10.0534 * CHOOSE(CONTROL!$C$15, $D$11, 100%, $F$11)</f>
        <v>10.0534</v>
      </c>
      <c r="C305" s="8">
        <f>10.0642 * CHOOSE(CONTROL!$C$15, $D$11, 100%, $F$11)</f>
        <v>10.0642</v>
      </c>
      <c r="D305" s="8">
        <f>10.0458 * CHOOSE( CONTROL!$C$15, $D$11, 100%, $F$11)</f>
        <v>10.0458</v>
      </c>
      <c r="E305" s="12">
        <f>10.0514 * CHOOSE( CONTROL!$C$15, $D$11, 100%, $F$11)</f>
        <v>10.051399999999999</v>
      </c>
      <c r="F305" s="4">
        <f>10.7145 * CHOOSE(CONTROL!$C$15, $D$11, 100%, $F$11)</f>
        <v>10.714499999999999</v>
      </c>
      <c r="G305" s="8">
        <f>9.8215 * CHOOSE( CONTROL!$C$15, $D$11, 100%, $F$11)</f>
        <v>9.8215000000000003</v>
      </c>
      <c r="H305" s="4">
        <f>10.7097 * CHOOSE(CONTROL!$C$15, $D$11, 100%, $F$11)</f>
        <v>10.7097</v>
      </c>
      <c r="I305" s="8">
        <f>9.762 * CHOOSE(CONTROL!$C$15, $D$11, 100%, $F$11)</f>
        <v>9.7620000000000005</v>
      </c>
      <c r="J305" s="4">
        <f>9.6378 * CHOOSE(CONTROL!$C$15, $D$11, 100%, $F$11)</f>
        <v>9.6378000000000004</v>
      </c>
      <c r="K305" s="4"/>
      <c r="L305" s="9">
        <v>29.306000000000001</v>
      </c>
      <c r="M305" s="9">
        <v>12.063700000000001</v>
      </c>
      <c r="N305" s="9">
        <v>4.9444999999999997</v>
      </c>
      <c r="O305" s="9">
        <v>0.37409999999999999</v>
      </c>
      <c r="P305" s="9">
        <v>1.2927</v>
      </c>
      <c r="Q305" s="9">
        <v>30.386800000000001</v>
      </c>
      <c r="R305" s="9"/>
      <c r="S305" s="11"/>
    </row>
    <row r="306" spans="1:19" ht="15.75">
      <c r="A306" s="13">
        <v>50829</v>
      </c>
      <c r="B306" s="8">
        <f>9.4044 * CHOOSE(CONTROL!$C$15, $D$11, 100%, $F$11)</f>
        <v>9.4044000000000008</v>
      </c>
      <c r="C306" s="8">
        <f>9.4152 * CHOOSE(CONTROL!$C$15, $D$11, 100%, $F$11)</f>
        <v>9.4152000000000005</v>
      </c>
      <c r="D306" s="8">
        <f>9.3966 * CHOOSE( CONTROL!$C$15, $D$11, 100%, $F$11)</f>
        <v>9.3965999999999994</v>
      </c>
      <c r="E306" s="12">
        <f>9.4023 * CHOOSE( CONTROL!$C$15, $D$11, 100%, $F$11)</f>
        <v>9.4023000000000003</v>
      </c>
      <c r="F306" s="4">
        <f>10.0655 * CHOOSE(CONTROL!$C$15, $D$11, 100%, $F$11)</f>
        <v>10.0655</v>
      </c>
      <c r="G306" s="8">
        <f>9.1869 * CHOOSE( CONTROL!$C$15, $D$11, 100%, $F$11)</f>
        <v>9.1868999999999996</v>
      </c>
      <c r="H306" s="4">
        <f>10.0752 * CHOOSE(CONTROL!$C$15, $D$11, 100%, $F$11)</f>
        <v>10.075200000000001</v>
      </c>
      <c r="I306" s="8">
        <f>9.1381 * CHOOSE(CONTROL!$C$15, $D$11, 100%, $F$11)</f>
        <v>9.1380999999999997</v>
      </c>
      <c r="J306" s="4">
        <f>9.0147 * CHOOSE(CONTROL!$C$15, $D$11, 100%, $F$11)</f>
        <v>9.0146999999999995</v>
      </c>
      <c r="K306" s="4"/>
      <c r="L306" s="9">
        <v>26.469899999999999</v>
      </c>
      <c r="M306" s="9">
        <v>10.8962</v>
      </c>
      <c r="N306" s="9">
        <v>4.4660000000000002</v>
      </c>
      <c r="O306" s="9">
        <v>0.33789999999999998</v>
      </c>
      <c r="P306" s="9">
        <v>1.1676</v>
      </c>
      <c r="Q306" s="9">
        <v>27.446200000000001</v>
      </c>
      <c r="R306" s="9"/>
      <c r="S306" s="11"/>
    </row>
    <row r="307" spans="1:19" ht="15.75">
      <c r="A307" s="13">
        <v>50860</v>
      </c>
      <c r="B307" s="8">
        <f>9.2046 * CHOOSE(CONTROL!$C$15, $D$11, 100%, $F$11)</f>
        <v>9.2045999999999992</v>
      </c>
      <c r="C307" s="8">
        <f>9.2153 * CHOOSE(CONTROL!$C$15, $D$11, 100%, $F$11)</f>
        <v>9.2152999999999992</v>
      </c>
      <c r="D307" s="8">
        <f>9.1963 * CHOOSE( CONTROL!$C$15, $D$11, 100%, $F$11)</f>
        <v>9.1963000000000008</v>
      </c>
      <c r="E307" s="12">
        <f>9.2021 * CHOOSE( CONTROL!$C$15, $D$11, 100%, $F$11)</f>
        <v>9.2020999999999997</v>
      </c>
      <c r="F307" s="4">
        <f>9.8657 * CHOOSE(CONTROL!$C$15, $D$11, 100%, $F$11)</f>
        <v>9.8657000000000004</v>
      </c>
      <c r="G307" s="8">
        <f>8.9911 * CHOOSE( CONTROL!$C$15, $D$11, 100%, $F$11)</f>
        <v>8.9910999999999994</v>
      </c>
      <c r="H307" s="4">
        <f>9.8798 * CHOOSE(CONTROL!$C$15, $D$11, 100%, $F$11)</f>
        <v>9.8797999999999995</v>
      </c>
      <c r="I307" s="8">
        <f>8.9446 * CHOOSE(CONTROL!$C$15, $D$11, 100%, $F$11)</f>
        <v>8.9445999999999994</v>
      </c>
      <c r="J307" s="4">
        <f>8.8228 * CHOOSE(CONTROL!$C$15, $D$11, 100%, $F$11)</f>
        <v>8.8228000000000009</v>
      </c>
      <c r="K307" s="4"/>
      <c r="L307" s="9">
        <v>29.306000000000001</v>
      </c>
      <c r="M307" s="9">
        <v>12.063700000000001</v>
      </c>
      <c r="N307" s="9">
        <v>4.9444999999999997</v>
      </c>
      <c r="O307" s="9">
        <v>0.37409999999999999</v>
      </c>
      <c r="P307" s="9">
        <v>1.2927</v>
      </c>
      <c r="Q307" s="9">
        <v>30.386800000000001</v>
      </c>
      <c r="R307" s="9"/>
      <c r="S307" s="11"/>
    </row>
    <row r="308" spans="1:19" ht="15.75">
      <c r="A308" s="13">
        <v>50890</v>
      </c>
      <c r="B308" s="8">
        <f>9.3442 * CHOOSE(CONTROL!$C$15, $D$11, 100%, $F$11)</f>
        <v>9.3442000000000007</v>
      </c>
      <c r="C308" s="8">
        <f>9.355 * CHOOSE(CONTROL!$C$15, $D$11, 100%, $F$11)</f>
        <v>9.3550000000000004</v>
      </c>
      <c r="D308" s="8">
        <f>9.3897 * CHOOSE( CONTROL!$C$15, $D$11, 100%, $F$11)</f>
        <v>9.3896999999999995</v>
      </c>
      <c r="E308" s="12">
        <f>9.377 * CHOOSE( CONTROL!$C$15, $D$11, 100%, $F$11)</f>
        <v>9.3770000000000007</v>
      </c>
      <c r="F308" s="4">
        <f>10.073 * CHOOSE(CONTROL!$C$15, $D$11, 100%, $F$11)</f>
        <v>10.073</v>
      </c>
      <c r="G308" s="8">
        <f>9.1304 * CHOOSE( CONTROL!$C$15, $D$11, 100%, $F$11)</f>
        <v>9.1303999999999998</v>
      </c>
      <c r="H308" s="4">
        <f>10.0825 * CHOOSE(CONTROL!$C$15, $D$11, 100%, $F$11)</f>
        <v>10.0825</v>
      </c>
      <c r="I308" s="8">
        <f>9.074 * CHOOSE(CONTROL!$C$15, $D$11, 100%, $F$11)</f>
        <v>9.0739999999999998</v>
      </c>
      <c r="J308" s="4">
        <f>8.9569 * CHOOSE(CONTROL!$C$15, $D$11, 100%, $F$11)</f>
        <v>8.9568999999999992</v>
      </c>
      <c r="K308" s="4"/>
      <c r="L308" s="9">
        <v>30.092199999999998</v>
      </c>
      <c r="M308" s="9">
        <v>11.6745</v>
      </c>
      <c r="N308" s="9">
        <v>4.7850000000000001</v>
      </c>
      <c r="O308" s="9">
        <v>0.36199999999999999</v>
      </c>
      <c r="P308" s="9">
        <v>1.1791</v>
      </c>
      <c r="Q308" s="9">
        <v>29.406600000000001</v>
      </c>
      <c r="R308" s="9"/>
      <c r="S308" s="11"/>
    </row>
    <row r="309" spans="1:19" ht="15.75">
      <c r="A309" s="13">
        <v>50921</v>
      </c>
      <c r="B309" s="8">
        <f>CHOOSE( CONTROL!$C$32, 9.595, 9.5927) * CHOOSE(CONTROL!$C$15, $D$11, 100%, $F$11)</f>
        <v>9.5950000000000006</v>
      </c>
      <c r="C309" s="8">
        <f>CHOOSE( CONTROL!$C$32, 9.6055, 9.6032) * CHOOSE(CONTROL!$C$15, $D$11, 100%, $F$11)</f>
        <v>9.6054999999999993</v>
      </c>
      <c r="D309" s="8">
        <f>CHOOSE( CONTROL!$C$32, 9.6394, 9.6371) * CHOOSE( CONTROL!$C$15, $D$11, 100%, $F$11)</f>
        <v>9.6394000000000002</v>
      </c>
      <c r="E309" s="12">
        <f>CHOOSE( CONTROL!$C$32, 9.6255, 9.6232) * CHOOSE( CONTROL!$C$15, $D$11, 100%, $F$11)</f>
        <v>9.6255000000000006</v>
      </c>
      <c r="F309" s="4">
        <f>CHOOSE( CONTROL!$C$32, 10.3239, 10.3216) * CHOOSE(CONTROL!$C$15, $D$11, 100%, $F$11)</f>
        <v>10.3239</v>
      </c>
      <c r="G309" s="8">
        <f>CHOOSE( CONTROL!$C$32, 9.3762, 9.374) * CHOOSE( CONTROL!$C$15, $D$11, 100%, $F$11)</f>
        <v>9.3762000000000008</v>
      </c>
      <c r="H309" s="4">
        <f>CHOOSE( CONTROL!$C$32, 10.3278, 10.3256) * CHOOSE(CONTROL!$C$15, $D$11, 100%, $F$11)</f>
        <v>10.3278</v>
      </c>
      <c r="I309" s="8">
        <f>CHOOSE( CONTROL!$C$32, 9.3151, 9.3129) * CHOOSE(CONTROL!$C$15, $D$11, 100%, $F$11)</f>
        <v>9.3150999999999993</v>
      </c>
      <c r="J309" s="4">
        <f>CHOOSE( CONTROL!$C$32, 9.1978, 9.1956) * CHOOSE(CONTROL!$C$15, $D$11, 100%, $F$11)</f>
        <v>9.1978000000000009</v>
      </c>
      <c r="K309" s="4"/>
      <c r="L309" s="9">
        <v>30.7165</v>
      </c>
      <c r="M309" s="9">
        <v>12.063700000000001</v>
      </c>
      <c r="N309" s="9">
        <v>4.9444999999999997</v>
      </c>
      <c r="O309" s="9">
        <v>0.37409999999999999</v>
      </c>
      <c r="P309" s="9">
        <v>1.2183999999999999</v>
      </c>
      <c r="Q309" s="9">
        <v>30.386800000000001</v>
      </c>
      <c r="R309" s="9"/>
      <c r="S309" s="11"/>
    </row>
    <row r="310" spans="1:19" ht="15.75">
      <c r="A310" s="13">
        <v>50951</v>
      </c>
      <c r="B310" s="8">
        <f>CHOOSE( CONTROL!$C$32, 9.441, 9.4387) * CHOOSE(CONTROL!$C$15, $D$11, 100%, $F$11)</f>
        <v>9.4410000000000007</v>
      </c>
      <c r="C310" s="8">
        <f>CHOOSE( CONTROL!$C$32, 9.4515, 9.4492) * CHOOSE(CONTROL!$C$15, $D$11, 100%, $F$11)</f>
        <v>9.4514999999999993</v>
      </c>
      <c r="D310" s="8">
        <f>CHOOSE( CONTROL!$C$32, 9.4855, 9.4832) * CHOOSE( CONTROL!$C$15, $D$11, 100%, $F$11)</f>
        <v>9.4855</v>
      </c>
      <c r="E310" s="12">
        <f>CHOOSE( CONTROL!$C$32, 9.4716, 9.4693) * CHOOSE( CONTROL!$C$15, $D$11, 100%, $F$11)</f>
        <v>9.4716000000000005</v>
      </c>
      <c r="F310" s="4">
        <f>CHOOSE( CONTROL!$C$32, 10.1699, 10.1676) * CHOOSE(CONTROL!$C$15, $D$11, 100%, $F$11)</f>
        <v>10.1699</v>
      </c>
      <c r="G310" s="8">
        <f>CHOOSE( CONTROL!$C$32, 9.2259, 9.2237) * CHOOSE( CONTROL!$C$15, $D$11, 100%, $F$11)</f>
        <v>9.2258999999999993</v>
      </c>
      <c r="H310" s="4">
        <f>CHOOSE( CONTROL!$C$32, 10.1773, 10.175) * CHOOSE(CONTROL!$C$15, $D$11, 100%, $F$11)</f>
        <v>10.177300000000001</v>
      </c>
      <c r="I310" s="8">
        <f>CHOOSE( CONTROL!$C$32, 9.1679, 9.1657) * CHOOSE(CONTROL!$C$15, $D$11, 100%, $F$11)</f>
        <v>9.1678999999999995</v>
      </c>
      <c r="J310" s="4">
        <f>CHOOSE( CONTROL!$C$32, 9.05, 9.0477) * CHOOSE(CONTROL!$C$15, $D$11, 100%, $F$11)</f>
        <v>9.0500000000000007</v>
      </c>
      <c r="K310" s="4"/>
      <c r="L310" s="9">
        <v>29.7257</v>
      </c>
      <c r="M310" s="9">
        <v>11.6745</v>
      </c>
      <c r="N310" s="9">
        <v>4.7850000000000001</v>
      </c>
      <c r="O310" s="9">
        <v>0.36199999999999999</v>
      </c>
      <c r="P310" s="9">
        <v>1.1791</v>
      </c>
      <c r="Q310" s="9">
        <v>29.406600000000001</v>
      </c>
      <c r="R310" s="9"/>
      <c r="S310" s="11"/>
    </row>
    <row r="311" spans="1:19" ht="15.75">
      <c r="A311" s="13">
        <v>50982</v>
      </c>
      <c r="B311" s="8">
        <f>CHOOSE( CONTROL!$C$32, 9.8465, 9.8442) * CHOOSE(CONTROL!$C$15, $D$11, 100%, $F$11)</f>
        <v>9.8465000000000007</v>
      </c>
      <c r="C311" s="8">
        <f>CHOOSE( CONTROL!$C$32, 9.8571, 9.8548) * CHOOSE(CONTROL!$C$15, $D$11, 100%, $F$11)</f>
        <v>9.8571000000000009</v>
      </c>
      <c r="D311" s="8">
        <f>CHOOSE( CONTROL!$C$32, 9.8913, 9.889) * CHOOSE( CONTROL!$C$15, $D$11, 100%, $F$11)</f>
        <v>9.8912999999999993</v>
      </c>
      <c r="E311" s="12">
        <f>CHOOSE( CONTROL!$C$32, 9.8773, 9.875) * CHOOSE( CONTROL!$C$15, $D$11, 100%, $F$11)</f>
        <v>9.8773</v>
      </c>
      <c r="F311" s="4">
        <f>CHOOSE( CONTROL!$C$32, 10.5754, 10.5731) * CHOOSE(CONTROL!$C$15, $D$11, 100%, $F$11)</f>
        <v>10.5754</v>
      </c>
      <c r="G311" s="8">
        <f>CHOOSE( CONTROL!$C$32, 9.6227, 9.6204) * CHOOSE( CONTROL!$C$15, $D$11, 100%, $F$11)</f>
        <v>9.6227</v>
      </c>
      <c r="H311" s="4">
        <f>CHOOSE( CONTROL!$C$32, 10.5737, 10.5715) * CHOOSE(CONTROL!$C$15, $D$11, 100%, $F$11)</f>
        <v>10.573700000000001</v>
      </c>
      <c r="I311" s="8">
        <f>CHOOSE( CONTROL!$C$32, 9.5584, 9.5562) * CHOOSE(CONTROL!$C$15, $D$11, 100%, $F$11)</f>
        <v>9.5584000000000007</v>
      </c>
      <c r="J311" s="4">
        <f>CHOOSE( CONTROL!$C$32, 9.4393, 9.4371) * CHOOSE(CONTROL!$C$15, $D$11, 100%, $F$11)</f>
        <v>9.4392999999999994</v>
      </c>
      <c r="K311" s="4"/>
      <c r="L311" s="9">
        <v>30.7165</v>
      </c>
      <c r="M311" s="9">
        <v>12.063700000000001</v>
      </c>
      <c r="N311" s="9">
        <v>4.9444999999999997</v>
      </c>
      <c r="O311" s="9">
        <v>0.37409999999999999</v>
      </c>
      <c r="P311" s="9">
        <v>1.2183999999999999</v>
      </c>
      <c r="Q311" s="9">
        <v>30.386800000000001</v>
      </c>
      <c r="R311" s="9"/>
      <c r="S311" s="11"/>
    </row>
    <row r="312" spans="1:19" ht="15.75">
      <c r="A312" s="13">
        <v>51013</v>
      </c>
      <c r="B312" s="8">
        <f>CHOOSE( CONTROL!$C$32, 9.0877, 9.0854) * CHOOSE(CONTROL!$C$15, $D$11, 100%, $F$11)</f>
        <v>9.0876999999999999</v>
      </c>
      <c r="C312" s="8">
        <f>CHOOSE( CONTROL!$C$32, 9.0983, 9.096) * CHOOSE(CONTROL!$C$15, $D$11, 100%, $F$11)</f>
        <v>9.0983000000000001</v>
      </c>
      <c r="D312" s="8">
        <f>CHOOSE( CONTROL!$C$32, 9.1326, 9.1303) * CHOOSE( CONTROL!$C$15, $D$11, 100%, $F$11)</f>
        <v>9.1326000000000001</v>
      </c>
      <c r="E312" s="12">
        <f>CHOOSE( CONTROL!$C$32, 9.1186, 9.1163) * CHOOSE( CONTROL!$C$15, $D$11, 100%, $F$11)</f>
        <v>9.1186000000000007</v>
      </c>
      <c r="F312" s="4">
        <f>CHOOSE( CONTROL!$C$32, 9.8167, 9.8144) * CHOOSE(CONTROL!$C$15, $D$11, 100%, $F$11)</f>
        <v>9.8167000000000009</v>
      </c>
      <c r="G312" s="8">
        <f>CHOOSE( CONTROL!$C$32, 8.881, 8.8787) * CHOOSE( CONTROL!$C$15, $D$11, 100%, $F$11)</f>
        <v>8.8810000000000002</v>
      </c>
      <c r="H312" s="4">
        <f>CHOOSE( CONTROL!$C$32, 9.8319, 9.8296) * CHOOSE(CONTROL!$C$15, $D$11, 100%, $F$11)</f>
        <v>9.8318999999999992</v>
      </c>
      <c r="I312" s="8">
        <f>CHOOSE( CONTROL!$C$32, 8.8299, 8.8277) * CHOOSE(CONTROL!$C$15, $D$11, 100%, $F$11)</f>
        <v>8.8299000000000003</v>
      </c>
      <c r="J312" s="4">
        <f>CHOOSE( CONTROL!$C$32, 8.7108, 8.7086) * CHOOSE(CONTROL!$C$15, $D$11, 100%, $F$11)</f>
        <v>8.7108000000000008</v>
      </c>
      <c r="K312" s="4"/>
      <c r="L312" s="9">
        <v>30.7165</v>
      </c>
      <c r="M312" s="9">
        <v>12.063700000000001</v>
      </c>
      <c r="N312" s="9">
        <v>4.9444999999999997</v>
      </c>
      <c r="O312" s="9">
        <v>0.37409999999999999</v>
      </c>
      <c r="P312" s="9">
        <v>1.2183999999999999</v>
      </c>
      <c r="Q312" s="9">
        <v>30.386800000000001</v>
      </c>
      <c r="R312" s="9"/>
      <c r="S312" s="11"/>
    </row>
    <row r="313" spans="1:19" ht="15.75">
      <c r="A313" s="13">
        <v>51043</v>
      </c>
      <c r="B313" s="8">
        <f>CHOOSE( CONTROL!$C$32, 8.8977, 8.8954) * CHOOSE(CONTROL!$C$15, $D$11, 100%, $F$11)</f>
        <v>8.8977000000000004</v>
      </c>
      <c r="C313" s="8">
        <f>CHOOSE( CONTROL!$C$32, 8.9083, 8.906) * CHOOSE(CONTROL!$C$15, $D$11, 100%, $F$11)</f>
        <v>8.9083000000000006</v>
      </c>
      <c r="D313" s="8">
        <f>CHOOSE( CONTROL!$C$32, 8.9425, 8.9402) * CHOOSE( CONTROL!$C$15, $D$11, 100%, $F$11)</f>
        <v>8.9425000000000008</v>
      </c>
      <c r="E313" s="12">
        <f>CHOOSE( CONTROL!$C$32, 8.9285, 8.9262) * CHOOSE( CONTROL!$C$15, $D$11, 100%, $F$11)</f>
        <v>8.9284999999999997</v>
      </c>
      <c r="F313" s="4">
        <f>CHOOSE( CONTROL!$C$32, 9.6267, 9.6244) * CHOOSE(CONTROL!$C$15, $D$11, 100%, $F$11)</f>
        <v>9.6266999999999996</v>
      </c>
      <c r="G313" s="8">
        <f>CHOOSE( CONTROL!$C$32, 8.6952, 8.6929) * CHOOSE( CONTROL!$C$15, $D$11, 100%, $F$11)</f>
        <v>8.6951999999999998</v>
      </c>
      <c r="H313" s="4">
        <f>CHOOSE( CONTROL!$C$32, 9.6461, 9.6439) * CHOOSE(CONTROL!$C$15, $D$11, 100%, $F$11)</f>
        <v>9.6461000000000006</v>
      </c>
      <c r="I313" s="8">
        <f>CHOOSE( CONTROL!$C$32, 8.6472, 8.645) * CHOOSE(CONTROL!$C$15, $D$11, 100%, $F$11)</f>
        <v>8.6471999999999998</v>
      </c>
      <c r="J313" s="4">
        <f>CHOOSE( CONTROL!$C$32, 8.5284, 8.5262) * CHOOSE(CONTROL!$C$15, $D$11, 100%, $F$11)</f>
        <v>8.5283999999999995</v>
      </c>
      <c r="K313" s="4"/>
      <c r="L313" s="9">
        <v>29.7257</v>
      </c>
      <c r="M313" s="9">
        <v>11.6745</v>
      </c>
      <c r="N313" s="9">
        <v>4.7850000000000001</v>
      </c>
      <c r="O313" s="9">
        <v>0.36199999999999999</v>
      </c>
      <c r="P313" s="9">
        <v>1.1791</v>
      </c>
      <c r="Q313" s="9">
        <v>29.406600000000001</v>
      </c>
      <c r="R313" s="9"/>
      <c r="S313" s="11"/>
    </row>
    <row r="314" spans="1:19" ht="15.75">
      <c r="A314" s="13">
        <v>51074</v>
      </c>
      <c r="B314" s="8">
        <f>9.2901 * CHOOSE(CONTROL!$C$15, $D$11, 100%, $F$11)</f>
        <v>9.2901000000000007</v>
      </c>
      <c r="C314" s="8">
        <f>9.3008 * CHOOSE(CONTROL!$C$15, $D$11, 100%, $F$11)</f>
        <v>9.3008000000000006</v>
      </c>
      <c r="D314" s="8">
        <f>9.3362 * CHOOSE( CONTROL!$C$15, $D$11, 100%, $F$11)</f>
        <v>9.3361999999999998</v>
      </c>
      <c r="E314" s="12">
        <f>9.3234 * CHOOSE( CONTROL!$C$15, $D$11, 100%, $F$11)</f>
        <v>9.3233999999999995</v>
      </c>
      <c r="F314" s="4">
        <f>10.0189 * CHOOSE(CONTROL!$C$15, $D$11, 100%, $F$11)</f>
        <v>10.0189</v>
      </c>
      <c r="G314" s="8">
        <f>9.0784 * CHOOSE( CONTROL!$C$15, $D$11, 100%, $F$11)</f>
        <v>9.0784000000000002</v>
      </c>
      <c r="H314" s="4">
        <f>10.0296 * CHOOSE(CONTROL!$C$15, $D$11, 100%, $F$11)</f>
        <v>10.0296</v>
      </c>
      <c r="I314" s="8">
        <f>9.0249 * CHOOSE(CONTROL!$C$15, $D$11, 100%, $F$11)</f>
        <v>9.0249000000000006</v>
      </c>
      <c r="J314" s="4">
        <f>8.9049 * CHOOSE(CONTROL!$C$15, $D$11, 100%, $F$11)</f>
        <v>8.9048999999999996</v>
      </c>
      <c r="K314" s="4"/>
      <c r="L314" s="9">
        <v>31.095300000000002</v>
      </c>
      <c r="M314" s="9">
        <v>12.063700000000001</v>
      </c>
      <c r="N314" s="9">
        <v>4.9444999999999997</v>
      </c>
      <c r="O314" s="9">
        <v>0.37409999999999999</v>
      </c>
      <c r="P314" s="9">
        <v>1.2183999999999999</v>
      </c>
      <c r="Q314" s="9">
        <v>30.386800000000001</v>
      </c>
      <c r="R314" s="9"/>
      <c r="S314" s="11"/>
    </row>
    <row r="315" spans="1:19" ht="15.75">
      <c r="A315" s="13">
        <v>51104</v>
      </c>
      <c r="B315" s="8">
        <f>10.0183 * CHOOSE(CONTROL!$C$15, $D$11, 100%, $F$11)</f>
        <v>10.0183</v>
      </c>
      <c r="C315" s="8">
        <f>10.029 * CHOOSE(CONTROL!$C$15, $D$11, 100%, $F$11)</f>
        <v>10.029</v>
      </c>
      <c r="D315" s="8">
        <f>10.0051 * CHOOSE( CONTROL!$C$15, $D$11, 100%, $F$11)</f>
        <v>10.005100000000001</v>
      </c>
      <c r="E315" s="12">
        <f>10.0127 * CHOOSE( CONTROL!$C$15, $D$11, 100%, $F$11)</f>
        <v>10.012700000000001</v>
      </c>
      <c r="F315" s="4">
        <f>10.6794 * CHOOSE(CONTROL!$C$15, $D$11, 100%, $F$11)</f>
        <v>10.679399999999999</v>
      </c>
      <c r="G315" s="8">
        <f>9.7903 * CHOOSE( CONTROL!$C$15, $D$11, 100%, $F$11)</f>
        <v>9.7903000000000002</v>
      </c>
      <c r="H315" s="4">
        <f>10.6753 * CHOOSE(CONTROL!$C$15, $D$11, 100%, $F$11)</f>
        <v>10.6753</v>
      </c>
      <c r="I315" s="8">
        <f>9.7677 * CHOOSE(CONTROL!$C$15, $D$11, 100%, $F$11)</f>
        <v>9.7676999999999996</v>
      </c>
      <c r="J315" s="4">
        <f>9.6041 * CHOOSE(CONTROL!$C$15, $D$11, 100%, $F$11)</f>
        <v>9.6041000000000007</v>
      </c>
      <c r="K315" s="4"/>
      <c r="L315" s="9">
        <v>28.360600000000002</v>
      </c>
      <c r="M315" s="9">
        <v>11.6745</v>
      </c>
      <c r="N315" s="9">
        <v>4.7850000000000001</v>
      </c>
      <c r="O315" s="9">
        <v>0.36199999999999999</v>
      </c>
      <c r="P315" s="9">
        <v>1.2509999999999999</v>
      </c>
      <c r="Q315" s="9">
        <v>29.406600000000001</v>
      </c>
      <c r="R315" s="9"/>
      <c r="S315" s="11"/>
    </row>
    <row r="316" spans="1:19" ht="15.75">
      <c r="A316" s="13">
        <v>51135</v>
      </c>
      <c r="B316" s="8">
        <f>10.0001 * CHOOSE(CONTROL!$C$15, $D$11, 100%, $F$11)</f>
        <v>10.0001</v>
      </c>
      <c r="C316" s="8">
        <f>10.0108 * CHOOSE(CONTROL!$C$15, $D$11, 100%, $F$11)</f>
        <v>10.0108</v>
      </c>
      <c r="D316" s="8">
        <f>9.9886 * CHOOSE( CONTROL!$C$15, $D$11, 100%, $F$11)</f>
        <v>9.9885999999999999</v>
      </c>
      <c r="E316" s="12">
        <f>9.9956 * CHOOSE( CONTROL!$C$15, $D$11, 100%, $F$11)</f>
        <v>9.9955999999999996</v>
      </c>
      <c r="F316" s="4">
        <f>10.6612 * CHOOSE(CONTROL!$C$15, $D$11, 100%, $F$11)</f>
        <v>10.661199999999999</v>
      </c>
      <c r="G316" s="8">
        <f>9.7738 * CHOOSE( CONTROL!$C$15, $D$11, 100%, $F$11)</f>
        <v>9.7737999999999996</v>
      </c>
      <c r="H316" s="4">
        <f>10.6575 * CHOOSE(CONTROL!$C$15, $D$11, 100%, $F$11)</f>
        <v>10.657500000000001</v>
      </c>
      <c r="I316" s="8">
        <f>9.7554 * CHOOSE(CONTROL!$C$15, $D$11, 100%, $F$11)</f>
        <v>9.7553999999999998</v>
      </c>
      <c r="J316" s="4">
        <f>9.5866 * CHOOSE(CONTROL!$C$15, $D$11, 100%, $F$11)</f>
        <v>9.5866000000000007</v>
      </c>
      <c r="K316" s="4"/>
      <c r="L316" s="9">
        <v>29.306000000000001</v>
      </c>
      <c r="M316" s="9">
        <v>12.063700000000001</v>
      </c>
      <c r="N316" s="9">
        <v>4.9444999999999997</v>
      </c>
      <c r="O316" s="9">
        <v>0.37409999999999999</v>
      </c>
      <c r="P316" s="9">
        <v>1.2927</v>
      </c>
      <c r="Q316" s="9">
        <v>30.386800000000001</v>
      </c>
      <c r="R316" s="9"/>
      <c r="S316" s="11"/>
    </row>
    <row r="317" spans="1:19" ht="15.75">
      <c r="A317" s="13">
        <v>51166</v>
      </c>
      <c r="B317" s="8">
        <f>10.2946 * CHOOSE(CONTROL!$C$15, $D$11, 100%, $F$11)</f>
        <v>10.294600000000001</v>
      </c>
      <c r="C317" s="8">
        <f>10.3053 * CHOOSE(CONTROL!$C$15, $D$11, 100%, $F$11)</f>
        <v>10.305300000000001</v>
      </c>
      <c r="D317" s="8">
        <f>10.287 * CHOOSE( CONTROL!$C$15, $D$11, 100%, $F$11)</f>
        <v>10.287000000000001</v>
      </c>
      <c r="E317" s="12">
        <f>10.2926 * CHOOSE( CONTROL!$C$15, $D$11, 100%, $F$11)</f>
        <v>10.2926</v>
      </c>
      <c r="F317" s="4">
        <f>10.9557 * CHOOSE(CONTROL!$C$15, $D$11, 100%, $F$11)</f>
        <v>10.9557</v>
      </c>
      <c r="G317" s="8">
        <f>10.0573 * CHOOSE( CONTROL!$C$15, $D$11, 100%, $F$11)</f>
        <v>10.0573</v>
      </c>
      <c r="H317" s="4">
        <f>10.9455 * CHOOSE(CONTROL!$C$15, $D$11, 100%, $F$11)</f>
        <v>10.945499999999999</v>
      </c>
      <c r="I317" s="8">
        <f>9.9937 * CHOOSE(CONTROL!$C$15, $D$11, 100%, $F$11)</f>
        <v>9.9937000000000005</v>
      </c>
      <c r="J317" s="4">
        <f>9.8694 * CHOOSE(CONTROL!$C$15, $D$11, 100%, $F$11)</f>
        <v>9.8694000000000006</v>
      </c>
      <c r="K317" s="4"/>
      <c r="L317" s="9">
        <v>29.306000000000001</v>
      </c>
      <c r="M317" s="9">
        <v>12.063700000000001</v>
      </c>
      <c r="N317" s="9">
        <v>4.9444999999999997</v>
      </c>
      <c r="O317" s="9">
        <v>0.37409999999999999</v>
      </c>
      <c r="P317" s="9">
        <v>1.2927</v>
      </c>
      <c r="Q317" s="9">
        <v>30.3217</v>
      </c>
      <c r="R317" s="9"/>
      <c r="S317" s="11"/>
    </row>
    <row r="318" spans="1:19" ht="15.75">
      <c r="A318" s="13">
        <v>51194</v>
      </c>
      <c r="B318" s="8">
        <f>9.63 * CHOOSE(CONTROL!$C$15, $D$11, 100%, $F$11)</f>
        <v>9.6300000000000008</v>
      </c>
      <c r="C318" s="8">
        <f>9.6408 * CHOOSE(CONTROL!$C$15, $D$11, 100%, $F$11)</f>
        <v>9.6408000000000005</v>
      </c>
      <c r="D318" s="8">
        <f>9.6222 * CHOOSE( CONTROL!$C$15, $D$11, 100%, $F$11)</f>
        <v>9.6221999999999994</v>
      </c>
      <c r="E318" s="12">
        <f>9.6279 * CHOOSE( CONTROL!$C$15, $D$11, 100%, $F$11)</f>
        <v>9.6279000000000003</v>
      </c>
      <c r="F318" s="4">
        <f>10.2911 * CHOOSE(CONTROL!$C$15, $D$11, 100%, $F$11)</f>
        <v>10.2911</v>
      </c>
      <c r="G318" s="8">
        <f>9.4075 * CHOOSE( CONTROL!$C$15, $D$11, 100%, $F$11)</f>
        <v>9.4075000000000006</v>
      </c>
      <c r="H318" s="4">
        <f>10.2958 * CHOOSE(CONTROL!$C$15, $D$11, 100%, $F$11)</f>
        <v>10.2958</v>
      </c>
      <c r="I318" s="8">
        <f>9.3548 * CHOOSE(CONTROL!$C$15, $D$11, 100%, $F$11)</f>
        <v>9.3547999999999991</v>
      </c>
      <c r="J318" s="4">
        <f>9.2313 * CHOOSE(CONTROL!$C$15, $D$11, 100%, $F$11)</f>
        <v>9.2312999999999992</v>
      </c>
      <c r="K318" s="4"/>
      <c r="L318" s="9">
        <v>27.415299999999998</v>
      </c>
      <c r="M318" s="9">
        <v>11.285299999999999</v>
      </c>
      <c r="N318" s="9">
        <v>4.6254999999999997</v>
      </c>
      <c r="O318" s="9">
        <v>0.34989999999999999</v>
      </c>
      <c r="P318" s="9">
        <v>1.2093</v>
      </c>
      <c r="Q318" s="9">
        <v>28.365500000000001</v>
      </c>
      <c r="R318" s="9"/>
      <c r="S318" s="11"/>
    </row>
    <row r="319" spans="1:19" ht="15.75">
      <c r="A319" s="13">
        <v>51226</v>
      </c>
      <c r="B319" s="8">
        <f>9.4254 * CHOOSE(CONTROL!$C$15, $D$11, 100%, $F$11)</f>
        <v>9.4253999999999998</v>
      </c>
      <c r="C319" s="8">
        <f>9.4361 * CHOOSE(CONTROL!$C$15, $D$11, 100%, $F$11)</f>
        <v>9.4360999999999997</v>
      </c>
      <c r="D319" s="8">
        <f>9.4171 * CHOOSE( CONTROL!$C$15, $D$11, 100%, $F$11)</f>
        <v>9.4170999999999996</v>
      </c>
      <c r="E319" s="12">
        <f>9.4229 * CHOOSE( CONTROL!$C$15, $D$11, 100%, $F$11)</f>
        <v>9.4229000000000003</v>
      </c>
      <c r="F319" s="4">
        <f>10.0865 * CHOOSE(CONTROL!$C$15, $D$11, 100%, $F$11)</f>
        <v>10.086499999999999</v>
      </c>
      <c r="G319" s="8">
        <f>9.207 * CHOOSE( CONTROL!$C$15, $D$11, 100%, $F$11)</f>
        <v>9.2070000000000007</v>
      </c>
      <c r="H319" s="4">
        <f>10.0957 * CHOOSE(CONTROL!$C$15, $D$11, 100%, $F$11)</f>
        <v>10.095700000000001</v>
      </c>
      <c r="I319" s="8">
        <f>9.1567 * CHOOSE(CONTROL!$C$15, $D$11, 100%, $F$11)</f>
        <v>9.1567000000000007</v>
      </c>
      <c r="J319" s="4">
        <f>9.0348 * CHOOSE(CONTROL!$C$15, $D$11, 100%, $F$11)</f>
        <v>9.0348000000000006</v>
      </c>
      <c r="K319" s="4"/>
      <c r="L319" s="9">
        <v>29.306000000000001</v>
      </c>
      <c r="M319" s="9">
        <v>12.063700000000001</v>
      </c>
      <c r="N319" s="9">
        <v>4.9444999999999997</v>
      </c>
      <c r="O319" s="9">
        <v>0.37409999999999999</v>
      </c>
      <c r="P319" s="9">
        <v>1.2927</v>
      </c>
      <c r="Q319" s="9">
        <v>30.3217</v>
      </c>
      <c r="R319" s="9"/>
      <c r="S319" s="11"/>
    </row>
    <row r="320" spans="1:19" ht="15.75">
      <c r="A320" s="13">
        <v>51256</v>
      </c>
      <c r="B320" s="8">
        <f>9.5683 * CHOOSE(CONTROL!$C$15, $D$11, 100%, $F$11)</f>
        <v>9.5683000000000007</v>
      </c>
      <c r="C320" s="8">
        <f>9.5791 * CHOOSE(CONTROL!$C$15, $D$11, 100%, $F$11)</f>
        <v>9.5791000000000004</v>
      </c>
      <c r="D320" s="8">
        <f>9.6139 * CHOOSE( CONTROL!$C$15, $D$11, 100%, $F$11)</f>
        <v>9.6138999999999992</v>
      </c>
      <c r="E320" s="12">
        <f>9.6012 * CHOOSE( CONTROL!$C$15, $D$11, 100%, $F$11)</f>
        <v>9.6012000000000004</v>
      </c>
      <c r="F320" s="4">
        <f>10.2972 * CHOOSE(CONTROL!$C$15, $D$11, 100%, $F$11)</f>
        <v>10.2972</v>
      </c>
      <c r="G320" s="8">
        <f>9.3496 * CHOOSE( CONTROL!$C$15, $D$11, 100%, $F$11)</f>
        <v>9.3496000000000006</v>
      </c>
      <c r="H320" s="4">
        <f>10.3017 * CHOOSE(CONTROL!$C$15, $D$11, 100%, $F$11)</f>
        <v>10.3017</v>
      </c>
      <c r="I320" s="8">
        <f>9.2893 * CHOOSE(CONTROL!$C$15, $D$11, 100%, $F$11)</f>
        <v>9.2893000000000008</v>
      </c>
      <c r="J320" s="4">
        <f>9.1721 * CHOOSE(CONTROL!$C$15, $D$11, 100%, $F$11)</f>
        <v>9.1721000000000004</v>
      </c>
      <c r="K320" s="4"/>
      <c r="L320" s="9">
        <v>30.092199999999998</v>
      </c>
      <c r="M320" s="9">
        <v>11.6745</v>
      </c>
      <c r="N320" s="9">
        <v>4.7850000000000001</v>
      </c>
      <c r="O320" s="9">
        <v>0.36199999999999999</v>
      </c>
      <c r="P320" s="9">
        <v>1.1791</v>
      </c>
      <c r="Q320" s="9">
        <v>29.343599999999999</v>
      </c>
      <c r="R320" s="9"/>
      <c r="S320" s="11"/>
    </row>
    <row r="321" spans="1:19" ht="15.75">
      <c r="A321" s="13">
        <v>51287</v>
      </c>
      <c r="B321" s="8">
        <f>CHOOSE( CONTROL!$C$32, 9.8251, 9.8228) * CHOOSE(CONTROL!$C$15, $D$11, 100%, $F$11)</f>
        <v>9.8251000000000008</v>
      </c>
      <c r="C321" s="8">
        <f>CHOOSE( CONTROL!$C$32, 9.8357, 9.8334) * CHOOSE(CONTROL!$C$15, $D$11, 100%, $F$11)</f>
        <v>9.8356999999999992</v>
      </c>
      <c r="D321" s="8">
        <f>CHOOSE( CONTROL!$C$32, 9.8695, 9.8672) * CHOOSE( CONTROL!$C$15, $D$11, 100%, $F$11)</f>
        <v>9.8695000000000004</v>
      </c>
      <c r="E321" s="12">
        <f>CHOOSE( CONTROL!$C$32, 9.8556, 9.8533) * CHOOSE( CONTROL!$C$15, $D$11, 100%, $F$11)</f>
        <v>9.8556000000000008</v>
      </c>
      <c r="F321" s="4">
        <f>CHOOSE( CONTROL!$C$32, 10.554, 10.5517) * CHOOSE(CONTROL!$C$15, $D$11, 100%, $F$11)</f>
        <v>10.554</v>
      </c>
      <c r="G321" s="8">
        <f>CHOOSE( CONTROL!$C$32, 9.6012, 9.599) * CHOOSE( CONTROL!$C$15, $D$11, 100%, $F$11)</f>
        <v>9.6012000000000004</v>
      </c>
      <c r="H321" s="4">
        <f>CHOOSE( CONTROL!$C$32, 10.5528, 10.5506) * CHOOSE(CONTROL!$C$15, $D$11, 100%, $F$11)</f>
        <v>10.5528</v>
      </c>
      <c r="I321" s="8">
        <f>CHOOSE( CONTROL!$C$32, 9.5361, 9.5339) * CHOOSE(CONTROL!$C$15, $D$11, 100%, $F$11)</f>
        <v>9.5360999999999994</v>
      </c>
      <c r="J321" s="4">
        <f>CHOOSE( CONTROL!$C$32, 9.4187, 9.4165) * CHOOSE(CONTROL!$C$15, $D$11, 100%, $F$11)</f>
        <v>9.4186999999999994</v>
      </c>
      <c r="K321" s="4"/>
      <c r="L321" s="9">
        <v>30.7165</v>
      </c>
      <c r="M321" s="9">
        <v>12.063700000000001</v>
      </c>
      <c r="N321" s="9">
        <v>4.9444999999999997</v>
      </c>
      <c r="O321" s="9">
        <v>0.37409999999999999</v>
      </c>
      <c r="P321" s="9">
        <v>1.2183999999999999</v>
      </c>
      <c r="Q321" s="9">
        <v>30.3217</v>
      </c>
      <c r="R321" s="9"/>
      <c r="S321" s="11"/>
    </row>
    <row r="322" spans="1:19" ht="15.75">
      <c r="A322" s="13">
        <v>51317</v>
      </c>
      <c r="B322" s="8">
        <f>CHOOSE( CONTROL!$C$32, 9.6674, 9.6651) * CHOOSE(CONTROL!$C$15, $D$11, 100%, $F$11)</f>
        <v>9.6674000000000007</v>
      </c>
      <c r="C322" s="8">
        <f>CHOOSE( CONTROL!$C$32, 9.678, 9.6757) * CHOOSE(CONTROL!$C$15, $D$11, 100%, $F$11)</f>
        <v>9.6780000000000008</v>
      </c>
      <c r="D322" s="8">
        <f>CHOOSE( CONTROL!$C$32, 9.712, 9.7097) * CHOOSE( CONTROL!$C$15, $D$11, 100%, $F$11)</f>
        <v>9.7119999999999997</v>
      </c>
      <c r="E322" s="12">
        <f>CHOOSE( CONTROL!$C$32, 9.6981, 9.6958) * CHOOSE( CONTROL!$C$15, $D$11, 100%, $F$11)</f>
        <v>9.6981000000000002</v>
      </c>
      <c r="F322" s="4">
        <f>CHOOSE( CONTROL!$C$32, 10.3964, 10.3941) * CHOOSE(CONTROL!$C$15, $D$11, 100%, $F$11)</f>
        <v>10.3964</v>
      </c>
      <c r="G322" s="8">
        <f>CHOOSE( CONTROL!$C$32, 9.4473, 9.445) * CHOOSE( CONTROL!$C$15, $D$11, 100%, $F$11)</f>
        <v>9.4473000000000003</v>
      </c>
      <c r="H322" s="4">
        <f>CHOOSE( CONTROL!$C$32, 10.3986, 10.3964) * CHOOSE(CONTROL!$C$15, $D$11, 100%, $F$11)</f>
        <v>10.3986</v>
      </c>
      <c r="I322" s="8">
        <f>CHOOSE( CONTROL!$C$32, 9.3854, 9.3832) * CHOOSE(CONTROL!$C$15, $D$11, 100%, $F$11)</f>
        <v>9.3854000000000006</v>
      </c>
      <c r="J322" s="4">
        <f>CHOOSE( CONTROL!$C$32, 9.2673, 9.2651) * CHOOSE(CONTROL!$C$15, $D$11, 100%, $F$11)</f>
        <v>9.2673000000000005</v>
      </c>
      <c r="K322" s="4"/>
      <c r="L322" s="9">
        <v>29.7257</v>
      </c>
      <c r="M322" s="9">
        <v>11.6745</v>
      </c>
      <c r="N322" s="9">
        <v>4.7850000000000001</v>
      </c>
      <c r="O322" s="9">
        <v>0.36199999999999999</v>
      </c>
      <c r="P322" s="9">
        <v>1.1791</v>
      </c>
      <c r="Q322" s="9">
        <v>29.343599999999999</v>
      </c>
      <c r="R322" s="9"/>
      <c r="S322" s="11"/>
    </row>
    <row r="323" spans="1:19" ht="15.75">
      <c r="A323" s="13">
        <v>51348</v>
      </c>
      <c r="B323" s="8">
        <f>CHOOSE( CONTROL!$C$32, 10.0827, 10.0804) * CHOOSE(CONTROL!$C$15, $D$11, 100%, $F$11)</f>
        <v>10.082700000000001</v>
      </c>
      <c r="C323" s="8">
        <f>CHOOSE( CONTROL!$C$32, 10.0932, 10.0909) * CHOOSE(CONTROL!$C$15, $D$11, 100%, $F$11)</f>
        <v>10.0932</v>
      </c>
      <c r="D323" s="8">
        <f>CHOOSE( CONTROL!$C$32, 10.1274, 10.1251) * CHOOSE( CONTROL!$C$15, $D$11, 100%, $F$11)</f>
        <v>10.1274</v>
      </c>
      <c r="E323" s="12">
        <f>CHOOSE( CONTROL!$C$32, 10.1134, 10.1111) * CHOOSE( CONTROL!$C$15, $D$11, 100%, $F$11)</f>
        <v>10.1134</v>
      </c>
      <c r="F323" s="4">
        <f>CHOOSE( CONTROL!$C$32, 10.8116, 10.8093) * CHOOSE(CONTROL!$C$15, $D$11, 100%, $F$11)</f>
        <v>10.8116</v>
      </c>
      <c r="G323" s="8">
        <f>CHOOSE( CONTROL!$C$32, 9.8536, 9.8514) * CHOOSE( CONTROL!$C$15, $D$11, 100%, $F$11)</f>
        <v>9.8536000000000001</v>
      </c>
      <c r="H323" s="4">
        <f>CHOOSE( CONTROL!$C$32, 10.8046, 10.8024) * CHOOSE(CONTROL!$C$15, $D$11, 100%, $F$11)</f>
        <v>10.804600000000001</v>
      </c>
      <c r="I323" s="8">
        <f>CHOOSE( CONTROL!$C$32, 9.7853, 9.7831) * CHOOSE(CONTROL!$C$15, $D$11, 100%, $F$11)</f>
        <v>9.7852999999999994</v>
      </c>
      <c r="J323" s="4">
        <f>CHOOSE( CONTROL!$C$32, 9.666, 9.6638) * CHOOSE(CONTROL!$C$15, $D$11, 100%, $F$11)</f>
        <v>9.6660000000000004</v>
      </c>
      <c r="K323" s="4"/>
      <c r="L323" s="9">
        <v>30.7165</v>
      </c>
      <c r="M323" s="9">
        <v>12.063700000000001</v>
      </c>
      <c r="N323" s="9">
        <v>4.9444999999999997</v>
      </c>
      <c r="O323" s="9">
        <v>0.37409999999999999</v>
      </c>
      <c r="P323" s="9">
        <v>1.2183999999999999</v>
      </c>
      <c r="Q323" s="9">
        <v>30.3217</v>
      </c>
      <c r="R323" s="9"/>
      <c r="S323" s="11"/>
    </row>
    <row r="324" spans="1:19" ht="15.75">
      <c r="A324" s="13">
        <v>51379</v>
      </c>
      <c r="B324" s="8">
        <f>CHOOSE( CONTROL!$C$32, 9.3057, 9.3034) * CHOOSE(CONTROL!$C$15, $D$11, 100%, $F$11)</f>
        <v>9.3056999999999999</v>
      </c>
      <c r="C324" s="8">
        <f>CHOOSE( CONTROL!$C$32, 9.3163, 9.3139) * CHOOSE(CONTROL!$C$15, $D$11, 100%, $F$11)</f>
        <v>9.3163</v>
      </c>
      <c r="D324" s="8">
        <f>CHOOSE( CONTROL!$C$32, 9.3505, 9.3482) * CHOOSE( CONTROL!$C$15, $D$11, 100%, $F$11)</f>
        <v>9.3505000000000003</v>
      </c>
      <c r="E324" s="12">
        <f>CHOOSE( CONTROL!$C$32, 9.3365, 9.3342) * CHOOSE( CONTROL!$C$15, $D$11, 100%, $F$11)</f>
        <v>9.3364999999999991</v>
      </c>
      <c r="F324" s="4">
        <f>CHOOSE( CONTROL!$C$32, 10.0346, 10.0323) * CHOOSE(CONTROL!$C$15, $D$11, 100%, $F$11)</f>
        <v>10.034599999999999</v>
      </c>
      <c r="G324" s="8">
        <f>CHOOSE( CONTROL!$C$32, 9.094, 9.0918) * CHOOSE( CONTROL!$C$15, $D$11, 100%, $F$11)</f>
        <v>9.0939999999999994</v>
      </c>
      <c r="H324" s="4">
        <f>CHOOSE( CONTROL!$C$32, 10.045, 10.0427) * CHOOSE(CONTROL!$C$15, $D$11, 100%, $F$11)</f>
        <v>10.045</v>
      </c>
      <c r="I324" s="8">
        <f>CHOOSE( CONTROL!$C$32, 9.0392, 9.037) * CHOOSE(CONTROL!$C$15, $D$11, 100%, $F$11)</f>
        <v>9.0391999999999992</v>
      </c>
      <c r="J324" s="4">
        <f>CHOOSE( CONTROL!$C$32, 8.9201, 8.9178) * CHOOSE(CONTROL!$C$15, $D$11, 100%, $F$11)</f>
        <v>8.9200999999999997</v>
      </c>
      <c r="K324" s="4"/>
      <c r="L324" s="9">
        <v>30.7165</v>
      </c>
      <c r="M324" s="9">
        <v>12.063700000000001</v>
      </c>
      <c r="N324" s="9">
        <v>4.9444999999999997</v>
      </c>
      <c r="O324" s="9">
        <v>0.37409999999999999</v>
      </c>
      <c r="P324" s="9">
        <v>1.2183999999999999</v>
      </c>
      <c r="Q324" s="9">
        <v>30.3217</v>
      </c>
      <c r="R324" s="9"/>
      <c r="S324" s="11"/>
    </row>
    <row r="325" spans="1:19" ht="15.75">
      <c r="A325" s="13">
        <v>51409</v>
      </c>
      <c r="B325" s="8">
        <f>CHOOSE( CONTROL!$C$32, 9.1111, 9.1088) * CHOOSE(CONTROL!$C$15, $D$11, 100%, $F$11)</f>
        <v>9.1111000000000004</v>
      </c>
      <c r="C325" s="8">
        <f>CHOOSE( CONTROL!$C$32, 9.1217, 9.1194) * CHOOSE(CONTROL!$C$15, $D$11, 100%, $F$11)</f>
        <v>9.1217000000000006</v>
      </c>
      <c r="D325" s="8">
        <f>CHOOSE( CONTROL!$C$32, 9.1559, 9.1536) * CHOOSE( CONTROL!$C$15, $D$11, 100%, $F$11)</f>
        <v>9.1559000000000008</v>
      </c>
      <c r="E325" s="12">
        <f>CHOOSE( CONTROL!$C$32, 9.1419, 9.1396) * CHOOSE( CONTROL!$C$15, $D$11, 100%, $F$11)</f>
        <v>9.1418999999999997</v>
      </c>
      <c r="F325" s="4">
        <f>CHOOSE( CONTROL!$C$32, 9.8401, 9.8378) * CHOOSE(CONTROL!$C$15, $D$11, 100%, $F$11)</f>
        <v>9.8400999999999996</v>
      </c>
      <c r="G325" s="8">
        <f>CHOOSE( CONTROL!$C$32, 8.9038, 8.9015) * CHOOSE( CONTROL!$C$15, $D$11, 100%, $F$11)</f>
        <v>8.9038000000000004</v>
      </c>
      <c r="H325" s="4">
        <f>CHOOSE( CONTROL!$C$32, 9.8548, 9.8525) * CHOOSE(CONTROL!$C$15, $D$11, 100%, $F$11)</f>
        <v>9.8547999999999991</v>
      </c>
      <c r="I325" s="8">
        <f>CHOOSE( CONTROL!$C$32, 8.8522, 8.85) * CHOOSE(CONTROL!$C$15, $D$11, 100%, $F$11)</f>
        <v>8.8521999999999998</v>
      </c>
      <c r="J325" s="4">
        <f>CHOOSE( CONTROL!$C$32, 8.7333, 8.731) * CHOOSE(CONTROL!$C$15, $D$11, 100%, $F$11)</f>
        <v>8.7332999999999998</v>
      </c>
      <c r="K325" s="4"/>
      <c r="L325" s="9">
        <v>29.7257</v>
      </c>
      <c r="M325" s="9">
        <v>11.6745</v>
      </c>
      <c r="N325" s="9">
        <v>4.7850000000000001</v>
      </c>
      <c r="O325" s="9">
        <v>0.36199999999999999</v>
      </c>
      <c r="P325" s="9">
        <v>1.1791</v>
      </c>
      <c r="Q325" s="9">
        <v>29.343599999999999</v>
      </c>
      <c r="R325" s="9"/>
      <c r="S325" s="11"/>
    </row>
    <row r="326" spans="1:19" ht="15.75">
      <c r="A326" s="13">
        <v>51440</v>
      </c>
      <c r="B326" s="8">
        <f>9.5129 * CHOOSE(CONTROL!$C$15, $D$11, 100%, $F$11)</f>
        <v>9.5129000000000001</v>
      </c>
      <c r="C326" s="8">
        <f>9.5237 * CHOOSE(CONTROL!$C$15, $D$11, 100%, $F$11)</f>
        <v>9.5236999999999998</v>
      </c>
      <c r="D326" s="8">
        <f>9.5591 * CHOOSE( CONTROL!$C$15, $D$11, 100%, $F$11)</f>
        <v>9.5591000000000008</v>
      </c>
      <c r="E326" s="12">
        <f>9.5463 * CHOOSE( CONTROL!$C$15, $D$11, 100%, $F$11)</f>
        <v>9.5463000000000005</v>
      </c>
      <c r="F326" s="4">
        <f>10.2417 * CHOOSE(CONTROL!$C$15, $D$11, 100%, $F$11)</f>
        <v>10.2417</v>
      </c>
      <c r="G326" s="8">
        <f>9.2963 * CHOOSE( CONTROL!$C$15, $D$11, 100%, $F$11)</f>
        <v>9.2963000000000005</v>
      </c>
      <c r="H326" s="4">
        <f>10.2475 * CHOOSE(CONTROL!$C$15, $D$11, 100%, $F$11)</f>
        <v>10.2475</v>
      </c>
      <c r="I326" s="8">
        <f>9.2389 * CHOOSE(CONTROL!$C$15, $D$11, 100%, $F$11)</f>
        <v>9.2388999999999992</v>
      </c>
      <c r="J326" s="4">
        <f>9.1189 * CHOOSE(CONTROL!$C$15, $D$11, 100%, $F$11)</f>
        <v>9.1189</v>
      </c>
      <c r="K326" s="4"/>
      <c r="L326" s="9">
        <v>31.095300000000002</v>
      </c>
      <c r="M326" s="9">
        <v>12.063700000000001</v>
      </c>
      <c r="N326" s="9">
        <v>4.9444999999999997</v>
      </c>
      <c r="O326" s="9">
        <v>0.37409999999999999</v>
      </c>
      <c r="P326" s="9">
        <v>1.2183999999999999</v>
      </c>
      <c r="Q326" s="9">
        <v>30.3217</v>
      </c>
      <c r="R326" s="9"/>
      <c r="S326" s="11"/>
    </row>
    <row r="327" spans="1:19" ht="15.75">
      <c r="A327" s="13">
        <v>51470</v>
      </c>
      <c r="B327" s="8">
        <f>10.2586 * CHOOSE(CONTROL!$C$15, $D$11, 100%, $F$11)</f>
        <v>10.258599999999999</v>
      </c>
      <c r="C327" s="8">
        <f>10.2694 * CHOOSE(CONTROL!$C$15, $D$11, 100%, $F$11)</f>
        <v>10.269399999999999</v>
      </c>
      <c r="D327" s="8">
        <f>10.2454 * CHOOSE( CONTROL!$C$15, $D$11, 100%, $F$11)</f>
        <v>10.2454</v>
      </c>
      <c r="E327" s="12">
        <f>10.253 * CHOOSE( CONTROL!$C$15, $D$11, 100%, $F$11)</f>
        <v>10.253</v>
      </c>
      <c r="F327" s="4">
        <f>10.9197 * CHOOSE(CONTROL!$C$15, $D$11, 100%, $F$11)</f>
        <v>10.919700000000001</v>
      </c>
      <c r="G327" s="8">
        <f>10.0253 * CHOOSE( CONTROL!$C$15, $D$11, 100%, $F$11)</f>
        <v>10.0253</v>
      </c>
      <c r="H327" s="4">
        <f>10.9103 * CHOOSE(CONTROL!$C$15, $D$11, 100%, $F$11)</f>
        <v>10.910299999999999</v>
      </c>
      <c r="I327" s="8">
        <f>9.9985 * CHOOSE(CONTROL!$C$15, $D$11, 100%, $F$11)</f>
        <v>9.9984999999999999</v>
      </c>
      <c r="J327" s="4">
        <f>9.8348 * CHOOSE(CONTROL!$C$15, $D$11, 100%, $F$11)</f>
        <v>9.8347999999999995</v>
      </c>
      <c r="K327" s="4"/>
      <c r="L327" s="9">
        <v>28.360600000000002</v>
      </c>
      <c r="M327" s="9">
        <v>11.6745</v>
      </c>
      <c r="N327" s="9">
        <v>4.7850000000000001</v>
      </c>
      <c r="O327" s="9">
        <v>0.36199999999999999</v>
      </c>
      <c r="P327" s="9">
        <v>1.2509999999999999</v>
      </c>
      <c r="Q327" s="9">
        <v>29.343599999999999</v>
      </c>
      <c r="R327" s="9"/>
      <c r="S327" s="11"/>
    </row>
    <row r="328" spans="1:19" ht="15.75">
      <c r="A328" s="13">
        <v>51501</v>
      </c>
      <c r="B328" s="8">
        <f>10.24 * CHOOSE(CONTROL!$C$15, $D$11, 100%, $F$11)</f>
        <v>10.24</v>
      </c>
      <c r="C328" s="8">
        <f>10.2507 * CHOOSE(CONTROL!$C$15, $D$11, 100%, $F$11)</f>
        <v>10.2507</v>
      </c>
      <c r="D328" s="8">
        <f>10.2285 * CHOOSE( CONTROL!$C$15, $D$11, 100%, $F$11)</f>
        <v>10.2285</v>
      </c>
      <c r="E328" s="12">
        <f>10.2355 * CHOOSE( CONTROL!$C$15, $D$11, 100%, $F$11)</f>
        <v>10.2355</v>
      </c>
      <c r="F328" s="4">
        <f>10.9011 * CHOOSE(CONTROL!$C$15, $D$11, 100%, $F$11)</f>
        <v>10.9011</v>
      </c>
      <c r="G328" s="8">
        <f>10.0083 * CHOOSE( CONTROL!$C$15, $D$11, 100%, $F$11)</f>
        <v>10.0083</v>
      </c>
      <c r="H328" s="4">
        <f>10.8921 * CHOOSE(CONTROL!$C$15, $D$11, 100%, $F$11)</f>
        <v>10.892099999999999</v>
      </c>
      <c r="I328" s="8">
        <f>9.9858 * CHOOSE(CONTROL!$C$15, $D$11, 100%, $F$11)</f>
        <v>9.9857999999999993</v>
      </c>
      <c r="J328" s="4">
        <f>9.8169 * CHOOSE(CONTROL!$C$15, $D$11, 100%, $F$11)</f>
        <v>9.8169000000000004</v>
      </c>
      <c r="K328" s="4"/>
      <c r="L328" s="9">
        <v>29.306000000000001</v>
      </c>
      <c r="M328" s="9">
        <v>12.063700000000001</v>
      </c>
      <c r="N328" s="9">
        <v>4.9444999999999997</v>
      </c>
      <c r="O328" s="9">
        <v>0.37409999999999999</v>
      </c>
      <c r="P328" s="9">
        <v>1.2927</v>
      </c>
      <c r="Q328" s="9">
        <v>30.3217</v>
      </c>
      <c r="R328" s="9"/>
      <c r="S328" s="11"/>
    </row>
    <row r="329" spans="1:19" ht="15.75">
      <c r="A329" s="13">
        <v>51532</v>
      </c>
      <c r="B329" s="8">
        <f>10.5416 * CHOOSE(CONTROL!$C$15, $D$11, 100%, $F$11)</f>
        <v>10.541600000000001</v>
      </c>
      <c r="C329" s="8">
        <f>10.5523 * CHOOSE(CONTROL!$C$15, $D$11, 100%, $F$11)</f>
        <v>10.552300000000001</v>
      </c>
      <c r="D329" s="8">
        <f>10.5339 * CHOOSE( CONTROL!$C$15, $D$11, 100%, $F$11)</f>
        <v>10.533899999999999</v>
      </c>
      <c r="E329" s="12">
        <f>10.5395 * CHOOSE( CONTROL!$C$15, $D$11, 100%, $F$11)</f>
        <v>10.5395</v>
      </c>
      <c r="F329" s="4">
        <f>11.2027 * CHOOSE(CONTROL!$C$15, $D$11, 100%, $F$11)</f>
        <v>11.2027</v>
      </c>
      <c r="G329" s="8">
        <f>10.2988 * CHOOSE( CONTROL!$C$15, $D$11, 100%, $F$11)</f>
        <v>10.2988</v>
      </c>
      <c r="H329" s="4">
        <f>11.187 * CHOOSE(CONTROL!$C$15, $D$11, 100%, $F$11)</f>
        <v>11.186999999999999</v>
      </c>
      <c r="I329" s="8">
        <f>10.2309 * CHOOSE(CONTROL!$C$15, $D$11, 100%, $F$11)</f>
        <v>10.2309</v>
      </c>
      <c r="J329" s="4">
        <f>10.1065 * CHOOSE(CONTROL!$C$15, $D$11, 100%, $F$11)</f>
        <v>10.1065</v>
      </c>
      <c r="K329" s="4"/>
      <c r="L329" s="9">
        <v>29.306000000000001</v>
      </c>
      <c r="M329" s="9">
        <v>12.063700000000001</v>
      </c>
      <c r="N329" s="9">
        <v>4.9444999999999997</v>
      </c>
      <c r="O329" s="9">
        <v>0.37409999999999999</v>
      </c>
      <c r="P329" s="9">
        <v>1.2927</v>
      </c>
      <c r="Q329" s="9">
        <v>30.258500000000002</v>
      </c>
      <c r="R329" s="9"/>
      <c r="S329" s="11"/>
    </row>
    <row r="330" spans="1:19" ht="15.75">
      <c r="A330" s="13">
        <v>51560</v>
      </c>
      <c r="B330" s="8">
        <f>9.8611 * CHOOSE(CONTROL!$C$15, $D$11, 100%, $F$11)</f>
        <v>9.8611000000000004</v>
      </c>
      <c r="C330" s="8">
        <f>9.8718 * CHOOSE(CONTROL!$C$15, $D$11, 100%, $F$11)</f>
        <v>9.8718000000000004</v>
      </c>
      <c r="D330" s="8">
        <f>9.8533 * CHOOSE( CONTROL!$C$15, $D$11, 100%, $F$11)</f>
        <v>9.8533000000000008</v>
      </c>
      <c r="E330" s="12">
        <f>9.8589 * CHOOSE( CONTROL!$C$15, $D$11, 100%, $F$11)</f>
        <v>9.8589000000000002</v>
      </c>
      <c r="F330" s="4">
        <f>10.5222 * CHOOSE(CONTROL!$C$15, $D$11, 100%, $F$11)</f>
        <v>10.5222</v>
      </c>
      <c r="G330" s="8">
        <f>9.6334 * CHOOSE( CONTROL!$C$15, $D$11, 100%, $F$11)</f>
        <v>9.6334</v>
      </c>
      <c r="H330" s="4">
        <f>10.5216 * CHOOSE(CONTROL!$C$15, $D$11, 100%, $F$11)</f>
        <v>10.521599999999999</v>
      </c>
      <c r="I330" s="8">
        <f>9.5767 * CHOOSE(CONTROL!$C$15, $D$11, 100%, $F$11)</f>
        <v>9.5767000000000007</v>
      </c>
      <c r="J330" s="4">
        <f>9.4531 * CHOOSE(CONTROL!$C$15, $D$11, 100%, $F$11)</f>
        <v>9.4530999999999992</v>
      </c>
      <c r="K330" s="4"/>
      <c r="L330" s="9">
        <v>26.469899999999999</v>
      </c>
      <c r="M330" s="9">
        <v>10.8962</v>
      </c>
      <c r="N330" s="9">
        <v>4.4660000000000002</v>
      </c>
      <c r="O330" s="9">
        <v>0.33789999999999998</v>
      </c>
      <c r="P330" s="9">
        <v>1.1676</v>
      </c>
      <c r="Q330" s="9">
        <v>27.330200000000001</v>
      </c>
      <c r="R330" s="9"/>
      <c r="S330" s="11"/>
    </row>
    <row r="331" spans="1:19" ht="15.75">
      <c r="A331" s="13">
        <v>51591</v>
      </c>
      <c r="B331" s="8">
        <f>9.6515 * CHOOSE(CONTROL!$C$15, $D$11, 100%, $F$11)</f>
        <v>9.6515000000000004</v>
      </c>
      <c r="C331" s="8">
        <f>9.6622 * CHOOSE(CONTROL!$C$15, $D$11, 100%, $F$11)</f>
        <v>9.6622000000000003</v>
      </c>
      <c r="D331" s="8">
        <f>9.6432 * CHOOSE( CONTROL!$C$15, $D$11, 100%, $F$11)</f>
        <v>9.6432000000000002</v>
      </c>
      <c r="E331" s="12">
        <f>9.649 * CHOOSE( CONTROL!$C$15, $D$11, 100%, $F$11)</f>
        <v>9.6489999999999991</v>
      </c>
      <c r="F331" s="4">
        <f>10.3126 * CHOOSE(CONTROL!$C$15, $D$11, 100%, $F$11)</f>
        <v>10.3126</v>
      </c>
      <c r="G331" s="8">
        <f>9.4281 * CHOOSE( CONTROL!$C$15, $D$11, 100%, $F$11)</f>
        <v>9.4281000000000006</v>
      </c>
      <c r="H331" s="4">
        <f>10.3167 * CHOOSE(CONTROL!$C$15, $D$11, 100%, $F$11)</f>
        <v>10.316700000000001</v>
      </c>
      <c r="I331" s="8">
        <f>9.3739 * CHOOSE(CONTROL!$C$15, $D$11, 100%, $F$11)</f>
        <v>9.3739000000000008</v>
      </c>
      <c r="J331" s="4">
        <f>9.2519 * CHOOSE(CONTROL!$C$15, $D$11, 100%, $F$11)</f>
        <v>9.2518999999999991</v>
      </c>
      <c r="K331" s="4"/>
      <c r="L331" s="9">
        <v>29.306000000000001</v>
      </c>
      <c r="M331" s="9">
        <v>12.063700000000001</v>
      </c>
      <c r="N331" s="9">
        <v>4.9444999999999997</v>
      </c>
      <c r="O331" s="9">
        <v>0.37409999999999999</v>
      </c>
      <c r="P331" s="9">
        <v>1.2927</v>
      </c>
      <c r="Q331" s="9">
        <v>30.258500000000002</v>
      </c>
      <c r="R331" s="9"/>
      <c r="S331" s="11"/>
    </row>
    <row r="332" spans="1:19" ht="15.75">
      <c r="A332" s="13">
        <v>51621</v>
      </c>
      <c r="B332" s="8">
        <f>9.7979 * CHOOSE(CONTROL!$C$15, $D$11, 100%, $F$11)</f>
        <v>9.7979000000000003</v>
      </c>
      <c r="C332" s="8">
        <f>9.8087 * CHOOSE(CONTROL!$C$15, $D$11, 100%, $F$11)</f>
        <v>9.8087</v>
      </c>
      <c r="D332" s="8">
        <f>9.8434 * CHOOSE( CONTROL!$C$15, $D$11, 100%, $F$11)</f>
        <v>9.8434000000000008</v>
      </c>
      <c r="E332" s="12">
        <f>9.8307 * CHOOSE( CONTROL!$C$15, $D$11, 100%, $F$11)</f>
        <v>9.8307000000000002</v>
      </c>
      <c r="F332" s="4">
        <f>10.5267 * CHOOSE(CONTROL!$C$15, $D$11, 100%, $F$11)</f>
        <v>10.5267</v>
      </c>
      <c r="G332" s="8">
        <f>9.574 * CHOOSE( CONTROL!$C$15, $D$11, 100%, $F$11)</f>
        <v>9.5739999999999998</v>
      </c>
      <c r="H332" s="4">
        <f>10.5261 * CHOOSE(CONTROL!$C$15, $D$11, 100%, $F$11)</f>
        <v>10.5261</v>
      </c>
      <c r="I332" s="8">
        <f>9.5098 * CHOOSE(CONTROL!$C$15, $D$11, 100%, $F$11)</f>
        <v>9.5098000000000003</v>
      </c>
      <c r="J332" s="4">
        <f>9.3925 * CHOOSE(CONTROL!$C$15, $D$11, 100%, $F$11)</f>
        <v>9.3925000000000001</v>
      </c>
      <c r="K332" s="4"/>
      <c r="L332" s="9">
        <v>30.092199999999998</v>
      </c>
      <c r="M332" s="9">
        <v>11.6745</v>
      </c>
      <c r="N332" s="9">
        <v>4.7850000000000001</v>
      </c>
      <c r="O332" s="9">
        <v>0.36199999999999999</v>
      </c>
      <c r="P332" s="9">
        <v>1.1791</v>
      </c>
      <c r="Q332" s="9">
        <v>29.282399999999999</v>
      </c>
      <c r="R332" s="9"/>
      <c r="S332" s="11"/>
    </row>
    <row r="333" spans="1:19" ht="15.75">
      <c r="A333" s="13">
        <v>51652</v>
      </c>
      <c r="B333" s="8">
        <f>CHOOSE( CONTROL!$C$32, 10.0608, 10.0585) * CHOOSE(CONTROL!$C$15, $D$11, 100%, $F$11)</f>
        <v>10.0608</v>
      </c>
      <c r="C333" s="8">
        <f>CHOOSE( CONTROL!$C$32, 10.0713, 10.069) * CHOOSE(CONTROL!$C$15, $D$11, 100%, $F$11)</f>
        <v>10.071300000000001</v>
      </c>
      <c r="D333" s="8">
        <f>CHOOSE( CONTROL!$C$32, 10.1052, 10.1029) * CHOOSE( CONTROL!$C$15, $D$11, 100%, $F$11)</f>
        <v>10.1052</v>
      </c>
      <c r="E333" s="12">
        <f>CHOOSE( CONTROL!$C$32, 10.0913, 10.089) * CHOOSE( CONTROL!$C$15, $D$11, 100%, $F$11)</f>
        <v>10.0913</v>
      </c>
      <c r="F333" s="4">
        <f>CHOOSE( CONTROL!$C$32, 10.7897, 10.7874) * CHOOSE(CONTROL!$C$15, $D$11, 100%, $F$11)</f>
        <v>10.7897</v>
      </c>
      <c r="G333" s="8">
        <f>CHOOSE( CONTROL!$C$32, 9.8316, 9.8294) * CHOOSE( CONTROL!$C$15, $D$11, 100%, $F$11)</f>
        <v>9.8315999999999999</v>
      </c>
      <c r="H333" s="4">
        <f>CHOOSE( CONTROL!$C$32, 10.7832, 10.781) * CHOOSE(CONTROL!$C$15, $D$11, 100%, $F$11)</f>
        <v>10.783200000000001</v>
      </c>
      <c r="I333" s="8">
        <f>CHOOSE( CONTROL!$C$32, 9.7625, 9.7603) * CHOOSE(CONTROL!$C$15, $D$11, 100%, $F$11)</f>
        <v>9.7624999999999993</v>
      </c>
      <c r="J333" s="4">
        <f>CHOOSE( CONTROL!$C$32, 9.645, 9.6428) * CHOOSE(CONTROL!$C$15, $D$11, 100%, $F$11)</f>
        <v>9.6449999999999996</v>
      </c>
      <c r="K333" s="4"/>
      <c r="L333" s="9">
        <v>30.7165</v>
      </c>
      <c r="M333" s="9">
        <v>12.063700000000001</v>
      </c>
      <c r="N333" s="9">
        <v>4.9444999999999997</v>
      </c>
      <c r="O333" s="9">
        <v>0.37409999999999999</v>
      </c>
      <c r="P333" s="9">
        <v>1.2183999999999999</v>
      </c>
      <c r="Q333" s="9">
        <v>30.258500000000002</v>
      </c>
      <c r="R333" s="9"/>
      <c r="S333" s="11"/>
    </row>
    <row r="334" spans="1:19" ht="15.75">
      <c r="A334" s="13">
        <v>51682</v>
      </c>
      <c r="B334" s="8">
        <f>CHOOSE( CONTROL!$C$32, 9.8993, 9.897) * CHOOSE(CONTROL!$C$15, $D$11, 100%, $F$11)</f>
        <v>9.8993000000000002</v>
      </c>
      <c r="C334" s="8">
        <f>CHOOSE( CONTROL!$C$32, 9.9098, 9.9075) * CHOOSE(CONTROL!$C$15, $D$11, 100%, $F$11)</f>
        <v>9.9098000000000006</v>
      </c>
      <c r="D334" s="8">
        <f>CHOOSE( CONTROL!$C$32, 9.9438, 9.9415) * CHOOSE( CONTROL!$C$15, $D$11, 100%, $F$11)</f>
        <v>9.9437999999999995</v>
      </c>
      <c r="E334" s="12">
        <f>CHOOSE( CONTROL!$C$32, 9.9299, 9.9276) * CHOOSE( CONTROL!$C$15, $D$11, 100%, $F$11)</f>
        <v>9.9298999999999999</v>
      </c>
      <c r="F334" s="4">
        <f>CHOOSE( CONTROL!$C$32, 10.6282, 10.6259) * CHOOSE(CONTROL!$C$15, $D$11, 100%, $F$11)</f>
        <v>10.6282</v>
      </c>
      <c r="G334" s="8">
        <f>CHOOSE( CONTROL!$C$32, 9.674, 9.6717) * CHOOSE( CONTROL!$C$15, $D$11, 100%, $F$11)</f>
        <v>9.6739999999999995</v>
      </c>
      <c r="H334" s="4">
        <f>CHOOSE( CONTROL!$C$32, 10.6253, 10.6231) * CHOOSE(CONTROL!$C$15, $D$11, 100%, $F$11)</f>
        <v>10.625299999999999</v>
      </c>
      <c r="I334" s="8">
        <f>CHOOSE( CONTROL!$C$32, 9.6082, 9.6059) * CHOOSE(CONTROL!$C$15, $D$11, 100%, $F$11)</f>
        <v>9.6082000000000001</v>
      </c>
      <c r="J334" s="4">
        <f>CHOOSE( CONTROL!$C$32, 9.49, 9.4878) * CHOOSE(CONTROL!$C$15, $D$11, 100%, $F$11)</f>
        <v>9.49</v>
      </c>
      <c r="K334" s="4"/>
      <c r="L334" s="9">
        <v>29.7257</v>
      </c>
      <c r="M334" s="9">
        <v>11.6745</v>
      </c>
      <c r="N334" s="9">
        <v>4.7850000000000001</v>
      </c>
      <c r="O334" s="9">
        <v>0.36199999999999999</v>
      </c>
      <c r="P334" s="9">
        <v>1.1791</v>
      </c>
      <c r="Q334" s="9">
        <v>29.282399999999999</v>
      </c>
      <c r="R334" s="9"/>
      <c r="S334" s="11"/>
    </row>
    <row r="335" spans="1:19" ht="15.75">
      <c r="A335" s="13">
        <v>51713</v>
      </c>
      <c r="B335" s="8">
        <f>CHOOSE( CONTROL!$C$32, 10.3245, 10.3222) * CHOOSE(CONTROL!$C$15, $D$11, 100%, $F$11)</f>
        <v>10.3245</v>
      </c>
      <c r="C335" s="8">
        <f>CHOOSE( CONTROL!$C$32, 10.3351, 10.3328) * CHOOSE(CONTROL!$C$15, $D$11, 100%, $F$11)</f>
        <v>10.335100000000001</v>
      </c>
      <c r="D335" s="8">
        <f>CHOOSE( CONTROL!$C$32, 10.3693, 10.367) * CHOOSE( CONTROL!$C$15, $D$11, 100%, $F$11)</f>
        <v>10.369300000000001</v>
      </c>
      <c r="E335" s="12">
        <f>CHOOSE( CONTROL!$C$32, 10.3553, 10.353) * CHOOSE( CONTROL!$C$15, $D$11, 100%, $F$11)</f>
        <v>10.3553</v>
      </c>
      <c r="F335" s="4">
        <f>CHOOSE( CONTROL!$C$32, 11.0535, 11.0512) * CHOOSE(CONTROL!$C$15, $D$11, 100%, $F$11)</f>
        <v>11.0535</v>
      </c>
      <c r="G335" s="8">
        <f>CHOOSE( CONTROL!$C$32, 10.0901, 10.0878) * CHOOSE( CONTROL!$C$15, $D$11, 100%, $F$11)</f>
        <v>10.0901</v>
      </c>
      <c r="H335" s="4">
        <f>CHOOSE( CONTROL!$C$32, 11.0411, 11.0388) * CHOOSE(CONTROL!$C$15, $D$11, 100%, $F$11)</f>
        <v>11.0411</v>
      </c>
      <c r="I335" s="8">
        <f>CHOOSE( CONTROL!$C$32, 10.0176, 10.0154) * CHOOSE(CONTROL!$C$15, $D$11, 100%, $F$11)</f>
        <v>10.0176</v>
      </c>
      <c r="J335" s="4">
        <f>CHOOSE( CONTROL!$C$32, 9.8982, 9.896) * CHOOSE(CONTROL!$C$15, $D$11, 100%, $F$11)</f>
        <v>9.8981999999999992</v>
      </c>
      <c r="K335" s="4"/>
      <c r="L335" s="9">
        <v>30.7165</v>
      </c>
      <c r="M335" s="9">
        <v>12.063700000000001</v>
      </c>
      <c r="N335" s="9">
        <v>4.9444999999999997</v>
      </c>
      <c r="O335" s="9">
        <v>0.37409999999999999</v>
      </c>
      <c r="P335" s="9">
        <v>1.2183999999999999</v>
      </c>
      <c r="Q335" s="9">
        <v>30.258500000000002</v>
      </c>
      <c r="R335" s="9"/>
      <c r="S335" s="11"/>
    </row>
    <row r="336" spans="1:19" ht="15.75">
      <c r="A336" s="13">
        <v>51744</v>
      </c>
      <c r="B336" s="8">
        <f>CHOOSE( CONTROL!$C$32, 9.5289, 9.5266) * CHOOSE(CONTROL!$C$15, $D$11, 100%, $F$11)</f>
        <v>9.5289000000000001</v>
      </c>
      <c r="C336" s="8">
        <f>CHOOSE( CONTROL!$C$32, 9.5394, 9.5371) * CHOOSE(CONTROL!$C$15, $D$11, 100%, $F$11)</f>
        <v>9.5394000000000005</v>
      </c>
      <c r="D336" s="8">
        <f>CHOOSE( CONTROL!$C$32, 9.5737, 9.5714) * CHOOSE( CONTROL!$C$15, $D$11, 100%, $F$11)</f>
        <v>9.5737000000000005</v>
      </c>
      <c r="E336" s="12">
        <f>CHOOSE( CONTROL!$C$32, 9.5597, 9.5574) * CHOOSE( CONTROL!$C$15, $D$11, 100%, $F$11)</f>
        <v>9.5596999999999994</v>
      </c>
      <c r="F336" s="4">
        <f>CHOOSE( CONTROL!$C$32, 10.2578, 10.2555) * CHOOSE(CONTROL!$C$15, $D$11, 100%, $F$11)</f>
        <v>10.2578</v>
      </c>
      <c r="G336" s="8">
        <f>CHOOSE( CONTROL!$C$32, 9.3122, 9.31) * CHOOSE( CONTROL!$C$15, $D$11, 100%, $F$11)</f>
        <v>9.3122000000000007</v>
      </c>
      <c r="H336" s="4">
        <f>CHOOSE( CONTROL!$C$32, 10.2632, 10.2609) * CHOOSE(CONTROL!$C$15, $D$11, 100%, $F$11)</f>
        <v>10.263199999999999</v>
      </c>
      <c r="I336" s="8">
        <f>CHOOSE( CONTROL!$C$32, 9.2536, 9.2514) * CHOOSE(CONTROL!$C$15, $D$11, 100%, $F$11)</f>
        <v>9.2536000000000005</v>
      </c>
      <c r="J336" s="4">
        <f>CHOOSE( CONTROL!$C$32, 9.1343, 9.1321) * CHOOSE(CONTROL!$C$15, $D$11, 100%, $F$11)</f>
        <v>9.1342999999999996</v>
      </c>
      <c r="K336" s="4"/>
      <c r="L336" s="9">
        <v>30.7165</v>
      </c>
      <c r="M336" s="9">
        <v>12.063700000000001</v>
      </c>
      <c r="N336" s="9">
        <v>4.9444999999999997</v>
      </c>
      <c r="O336" s="9">
        <v>0.37409999999999999</v>
      </c>
      <c r="P336" s="9">
        <v>1.2183999999999999</v>
      </c>
      <c r="Q336" s="9">
        <v>30.258500000000002</v>
      </c>
      <c r="R336" s="9"/>
      <c r="S336" s="11"/>
    </row>
    <row r="337" spans="1:19" ht="15.75">
      <c r="A337" s="13">
        <v>51774</v>
      </c>
      <c r="B337" s="8">
        <f>CHOOSE( CONTROL!$C$32, 9.3296, 9.3273) * CHOOSE(CONTROL!$C$15, $D$11, 100%, $F$11)</f>
        <v>9.3295999999999992</v>
      </c>
      <c r="C337" s="8">
        <f>CHOOSE( CONTROL!$C$32, 9.3402, 9.3379) * CHOOSE(CONTROL!$C$15, $D$11, 100%, $F$11)</f>
        <v>9.3401999999999994</v>
      </c>
      <c r="D337" s="8">
        <f>CHOOSE( CONTROL!$C$32, 9.3744, 9.3721) * CHOOSE( CONTROL!$C$15, $D$11, 100%, $F$11)</f>
        <v>9.3743999999999996</v>
      </c>
      <c r="E337" s="12">
        <f>CHOOSE( CONTROL!$C$32, 9.3604, 9.3581) * CHOOSE( CONTROL!$C$15, $D$11, 100%, $F$11)</f>
        <v>9.3604000000000003</v>
      </c>
      <c r="F337" s="4">
        <f>CHOOSE( CONTROL!$C$32, 10.0586, 10.0563) * CHOOSE(CONTROL!$C$15, $D$11, 100%, $F$11)</f>
        <v>10.0586</v>
      </c>
      <c r="G337" s="8">
        <f>CHOOSE( CONTROL!$C$32, 9.1174, 9.1152) * CHOOSE( CONTROL!$C$15, $D$11, 100%, $F$11)</f>
        <v>9.1173999999999999</v>
      </c>
      <c r="H337" s="4">
        <f>CHOOSE( CONTROL!$C$32, 10.0684, 10.0661) * CHOOSE(CONTROL!$C$15, $D$11, 100%, $F$11)</f>
        <v>10.0684</v>
      </c>
      <c r="I337" s="8">
        <f>CHOOSE( CONTROL!$C$32, 9.0621, 9.0599) * CHOOSE(CONTROL!$C$15, $D$11, 100%, $F$11)</f>
        <v>9.0620999999999992</v>
      </c>
      <c r="J337" s="4">
        <f>CHOOSE( CONTROL!$C$32, 8.943, 8.9408) * CHOOSE(CONTROL!$C$15, $D$11, 100%, $F$11)</f>
        <v>8.9429999999999996</v>
      </c>
      <c r="K337" s="4"/>
      <c r="L337" s="9">
        <v>29.7257</v>
      </c>
      <c r="M337" s="9">
        <v>11.6745</v>
      </c>
      <c r="N337" s="9">
        <v>4.7850000000000001</v>
      </c>
      <c r="O337" s="9">
        <v>0.36199999999999999</v>
      </c>
      <c r="P337" s="9">
        <v>1.1791</v>
      </c>
      <c r="Q337" s="9">
        <v>29.282399999999999</v>
      </c>
      <c r="R337" s="9"/>
      <c r="S337" s="11"/>
    </row>
    <row r="338" spans="1:19" ht="15.75">
      <c r="A338" s="13">
        <v>51805</v>
      </c>
      <c r="B338" s="8">
        <f>9.7411 * CHOOSE(CONTROL!$C$15, $D$11, 100%, $F$11)</f>
        <v>9.7410999999999994</v>
      </c>
      <c r="C338" s="8">
        <f>9.7519 * CHOOSE(CONTROL!$C$15, $D$11, 100%, $F$11)</f>
        <v>9.7518999999999991</v>
      </c>
      <c r="D338" s="8">
        <f>9.7873 * CHOOSE( CONTROL!$C$15, $D$11, 100%, $F$11)</f>
        <v>9.7873000000000001</v>
      </c>
      <c r="E338" s="12">
        <f>9.7745 * CHOOSE( CONTROL!$C$15, $D$11, 100%, $F$11)</f>
        <v>9.7744999999999997</v>
      </c>
      <c r="F338" s="4">
        <f>10.47 * CHOOSE(CONTROL!$C$15, $D$11, 100%, $F$11)</f>
        <v>10.47</v>
      </c>
      <c r="G338" s="8">
        <f>9.5194 * CHOOSE( CONTROL!$C$15, $D$11, 100%, $F$11)</f>
        <v>9.5193999999999992</v>
      </c>
      <c r="H338" s="4">
        <f>10.4706 * CHOOSE(CONTROL!$C$15, $D$11, 100%, $F$11)</f>
        <v>10.470599999999999</v>
      </c>
      <c r="I338" s="8">
        <f>9.4581 * CHOOSE(CONTROL!$C$15, $D$11, 100%, $F$11)</f>
        <v>9.4581</v>
      </c>
      <c r="J338" s="4">
        <f>9.338 * CHOOSE(CONTROL!$C$15, $D$11, 100%, $F$11)</f>
        <v>9.3379999999999992</v>
      </c>
      <c r="K338" s="4"/>
      <c r="L338" s="9">
        <v>31.095300000000002</v>
      </c>
      <c r="M338" s="9">
        <v>12.063700000000001</v>
      </c>
      <c r="N338" s="9">
        <v>4.9444999999999997</v>
      </c>
      <c r="O338" s="9">
        <v>0.37409999999999999</v>
      </c>
      <c r="P338" s="9">
        <v>1.2183999999999999</v>
      </c>
      <c r="Q338" s="9">
        <v>30.258500000000002</v>
      </c>
      <c r="R338" s="9"/>
      <c r="S338" s="11"/>
    </row>
    <row r="339" spans="1:19" ht="15.75">
      <c r="A339" s="13">
        <v>51835</v>
      </c>
      <c r="B339" s="8">
        <f>10.5047 * CHOOSE(CONTROL!$C$15, $D$11, 100%, $F$11)</f>
        <v>10.5047</v>
      </c>
      <c r="C339" s="8">
        <f>10.5155 * CHOOSE(CONTROL!$C$15, $D$11, 100%, $F$11)</f>
        <v>10.515499999999999</v>
      </c>
      <c r="D339" s="8">
        <f>10.4915 * CHOOSE( CONTROL!$C$15, $D$11, 100%, $F$11)</f>
        <v>10.4915</v>
      </c>
      <c r="E339" s="12">
        <f>10.4991 * CHOOSE( CONTROL!$C$15, $D$11, 100%, $F$11)</f>
        <v>10.4991</v>
      </c>
      <c r="F339" s="4">
        <f>11.1658 * CHOOSE(CONTROL!$C$15, $D$11, 100%, $F$11)</f>
        <v>11.165800000000001</v>
      </c>
      <c r="G339" s="8">
        <f>10.266 * CHOOSE( CONTROL!$C$15, $D$11, 100%, $F$11)</f>
        <v>10.266</v>
      </c>
      <c r="H339" s="4">
        <f>11.151 * CHOOSE(CONTROL!$C$15, $D$11, 100%, $F$11)</f>
        <v>11.151</v>
      </c>
      <c r="I339" s="8">
        <f>10.235 * CHOOSE(CONTROL!$C$15, $D$11, 100%, $F$11)</f>
        <v>10.234999999999999</v>
      </c>
      <c r="J339" s="4">
        <f>10.0711 * CHOOSE(CONTROL!$C$15, $D$11, 100%, $F$11)</f>
        <v>10.071099999999999</v>
      </c>
      <c r="K339" s="4"/>
      <c r="L339" s="9">
        <v>28.360600000000002</v>
      </c>
      <c r="M339" s="9">
        <v>11.6745</v>
      </c>
      <c r="N339" s="9">
        <v>4.7850000000000001</v>
      </c>
      <c r="O339" s="9">
        <v>0.36199999999999999</v>
      </c>
      <c r="P339" s="9">
        <v>1.2509999999999999</v>
      </c>
      <c r="Q339" s="9">
        <v>29.282399999999999</v>
      </c>
      <c r="R339" s="9"/>
      <c r="S339" s="11"/>
    </row>
    <row r="340" spans="1:19" ht="15.75">
      <c r="A340" s="13">
        <v>51866</v>
      </c>
      <c r="B340" s="8">
        <f>10.4857 * CHOOSE(CONTROL!$C$15, $D$11, 100%, $F$11)</f>
        <v>10.4857</v>
      </c>
      <c r="C340" s="8">
        <f>10.4964 * CHOOSE(CONTROL!$C$15, $D$11, 100%, $F$11)</f>
        <v>10.4964</v>
      </c>
      <c r="D340" s="8">
        <f>10.4741 * CHOOSE( CONTROL!$C$15, $D$11, 100%, $F$11)</f>
        <v>10.4741</v>
      </c>
      <c r="E340" s="12">
        <f>10.4811 * CHOOSE( CONTROL!$C$15, $D$11, 100%, $F$11)</f>
        <v>10.4811</v>
      </c>
      <c r="F340" s="4">
        <f>11.1468 * CHOOSE(CONTROL!$C$15, $D$11, 100%, $F$11)</f>
        <v>11.146800000000001</v>
      </c>
      <c r="G340" s="8">
        <f>10.2485 * CHOOSE( CONTROL!$C$15, $D$11, 100%, $F$11)</f>
        <v>10.2485</v>
      </c>
      <c r="H340" s="4">
        <f>11.1323 * CHOOSE(CONTROL!$C$15, $D$11, 100%, $F$11)</f>
        <v>11.132300000000001</v>
      </c>
      <c r="I340" s="8">
        <f>10.2218 * CHOOSE(CONTROL!$C$15, $D$11, 100%, $F$11)</f>
        <v>10.2218</v>
      </c>
      <c r="J340" s="4">
        <f>10.0528 * CHOOSE(CONTROL!$C$15, $D$11, 100%, $F$11)</f>
        <v>10.0528</v>
      </c>
      <c r="K340" s="4"/>
      <c r="L340" s="9">
        <v>29.306000000000001</v>
      </c>
      <c r="M340" s="9">
        <v>12.063700000000001</v>
      </c>
      <c r="N340" s="9">
        <v>4.9444999999999997</v>
      </c>
      <c r="O340" s="9">
        <v>0.37409999999999999</v>
      </c>
      <c r="P340" s="9">
        <v>1.2927</v>
      </c>
      <c r="Q340" s="9">
        <v>30.258500000000002</v>
      </c>
      <c r="R340" s="9"/>
      <c r="S340" s="11"/>
    </row>
    <row r="341" spans="1:19" ht="15.75">
      <c r="A341" s="13">
        <v>51897</v>
      </c>
      <c r="B341" s="8">
        <f>10.7945 * CHOOSE(CONTROL!$C$15, $D$11, 100%, $F$11)</f>
        <v>10.794499999999999</v>
      </c>
      <c r="C341" s="8">
        <f>10.8053 * CHOOSE(CONTROL!$C$15, $D$11, 100%, $F$11)</f>
        <v>10.805300000000001</v>
      </c>
      <c r="D341" s="8">
        <f>10.7869 * CHOOSE( CONTROL!$C$15, $D$11, 100%, $F$11)</f>
        <v>10.786899999999999</v>
      </c>
      <c r="E341" s="12">
        <f>10.7925 * CHOOSE( CONTROL!$C$15, $D$11, 100%, $F$11)</f>
        <v>10.7925</v>
      </c>
      <c r="F341" s="4">
        <f>11.4556 * CHOOSE(CONTROL!$C$15, $D$11, 100%, $F$11)</f>
        <v>11.4556</v>
      </c>
      <c r="G341" s="8">
        <f>10.5461 * CHOOSE( CONTROL!$C$15, $D$11, 100%, $F$11)</f>
        <v>10.546099999999999</v>
      </c>
      <c r="H341" s="4">
        <f>11.4343 * CHOOSE(CONTROL!$C$15, $D$11, 100%, $F$11)</f>
        <v>11.4343</v>
      </c>
      <c r="I341" s="8">
        <f>10.4739 * CHOOSE(CONTROL!$C$15, $D$11, 100%, $F$11)</f>
        <v>10.4739</v>
      </c>
      <c r="J341" s="4">
        <f>10.3493 * CHOOSE(CONTROL!$C$15, $D$11, 100%, $F$11)</f>
        <v>10.349299999999999</v>
      </c>
      <c r="K341" s="4"/>
      <c r="L341" s="9">
        <v>29.306000000000001</v>
      </c>
      <c r="M341" s="9">
        <v>12.063700000000001</v>
      </c>
      <c r="N341" s="9">
        <v>4.9444999999999997</v>
      </c>
      <c r="O341" s="9">
        <v>0.37409999999999999</v>
      </c>
      <c r="P341" s="9">
        <v>1.2927</v>
      </c>
      <c r="Q341" s="9">
        <v>20.593900000000001</v>
      </c>
      <c r="R341" s="9"/>
      <c r="S341" s="11"/>
    </row>
    <row r="342" spans="1:19" ht="15.75">
      <c r="A342" s="13">
        <v>51925</v>
      </c>
      <c r="B342" s="8">
        <f>10.0976 * CHOOSE(CONTROL!$C$15, $D$11, 100%, $F$11)</f>
        <v>10.0976</v>
      </c>
      <c r="C342" s="8">
        <f>10.1084 * CHOOSE(CONTROL!$C$15, $D$11, 100%, $F$11)</f>
        <v>10.1084</v>
      </c>
      <c r="D342" s="8">
        <f>10.0898 * CHOOSE( CONTROL!$C$15, $D$11, 100%, $F$11)</f>
        <v>10.0898</v>
      </c>
      <c r="E342" s="12">
        <f>10.0955 * CHOOSE( CONTROL!$C$15, $D$11, 100%, $F$11)</f>
        <v>10.095499999999999</v>
      </c>
      <c r="F342" s="4">
        <f>10.7587 * CHOOSE(CONTROL!$C$15, $D$11, 100%, $F$11)</f>
        <v>10.758699999999999</v>
      </c>
      <c r="G342" s="8">
        <f>9.8647 * CHOOSE( CONTROL!$C$15, $D$11, 100%, $F$11)</f>
        <v>9.8646999999999991</v>
      </c>
      <c r="H342" s="4">
        <f>10.7529 * CHOOSE(CONTROL!$C$15, $D$11, 100%, $F$11)</f>
        <v>10.7529</v>
      </c>
      <c r="I342" s="8">
        <f>9.804 * CHOOSE(CONTROL!$C$15, $D$11, 100%, $F$11)</f>
        <v>9.8040000000000003</v>
      </c>
      <c r="J342" s="4">
        <f>9.6803 * CHOOSE(CONTROL!$C$15, $D$11, 100%, $F$11)</f>
        <v>9.6803000000000008</v>
      </c>
      <c r="K342" s="4"/>
      <c r="L342" s="9">
        <v>26.469899999999999</v>
      </c>
      <c r="M342" s="9">
        <v>10.8962</v>
      </c>
      <c r="N342" s="9">
        <v>4.4660000000000002</v>
      </c>
      <c r="O342" s="9">
        <v>0.33789999999999998</v>
      </c>
      <c r="P342" s="9">
        <v>1.1676</v>
      </c>
      <c r="Q342" s="9">
        <v>18.600999999999999</v>
      </c>
      <c r="R342" s="9"/>
      <c r="S342" s="11"/>
    </row>
    <row r="343" spans="1:19" ht="15.75">
      <c r="A343" s="13">
        <v>51956</v>
      </c>
      <c r="B343" s="8">
        <f>9.883 * CHOOSE(CONTROL!$C$15, $D$11, 100%, $F$11)</f>
        <v>9.8829999999999991</v>
      </c>
      <c r="C343" s="8">
        <f>9.8938 * CHOOSE(CONTROL!$C$15, $D$11, 100%, $F$11)</f>
        <v>9.8938000000000006</v>
      </c>
      <c r="D343" s="8">
        <f>9.8747 * CHOOSE( CONTROL!$C$15, $D$11, 100%, $F$11)</f>
        <v>9.8747000000000007</v>
      </c>
      <c r="E343" s="12">
        <f>9.8805 * CHOOSE( CONTROL!$C$15, $D$11, 100%, $F$11)</f>
        <v>9.8804999999999996</v>
      </c>
      <c r="F343" s="4">
        <f>10.5441 * CHOOSE(CONTROL!$C$15, $D$11, 100%, $F$11)</f>
        <v>10.5441</v>
      </c>
      <c r="G343" s="8">
        <f>9.6545 * CHOOSE( CONTROL!$C$15, $D$11, 100%, $F$11)</f>
        <v>9.6545000000000005</v>
      </c>
      <c r="H343" s="4">
        <f>10.5431 * CHOOSE(CONTROL!$C$15, $D$11, 100%, $F$11)</f>
        <v>10.543100000000001</v>
      </c>
      <c r="I343" s="8">
        <f>9.5963 * CHOOSE(CONTROL!$C$15, $D$11, 100%, $F$11)</f>
        <v>9.5962999999999994</v>
      </c>
      <c r="J343" s="4">
        <f>9.4742 * CHOOSE(CONTROL!$C$15, $D$11, 100%, $F$11)</f>
        <v>9.4741999999999997</v>
      </c>
      <c r="K343" s="4"/>
      <c r="L343" s="9">
        <v>29.306000000000001</v>
      </c>
      <c r="M343" s="9">
        <v>12.063700000000001</v>
      </c>
      <c r="N343" s="9">
        <v>4.9444999999999997</v>
      </c>
      <c r="O343" s="9">
        <v>0.37409999999999999</v>
      </c>
      <c r="P343" s="9">
        <v>1.2927</v>
      </c>
      <c r="Q343" s="9">
        <v>20.593900000000001</v>
      </c>
      <c r="R343" s="9"/>
      <c r="S343" s="11"/>
    </row>
    <row r="344" spans="1:19" ht="15.75">
      <c r="A344" s="13">
        <v>51986</v>
      </c>
      <c r="B344" s="8">
        <f>10.0329 * CHOOSE(CONTROL!$C$15, $D$11, 100%, $F$11)</f>
        <v>10.0329</v>
      </c>
      <c r="C344" s="8">
        <f>10.0437 * CHOOSE(CONTROL!$C$15, $D$11, 100%, $F$11)</f>
        <v>10.043699999999999</v>
      </c>
      <c r="D344" s="8">
        <f>10.0785 * CHOOSE( CONTROL!$C$15, $D$11, 100%, $F$11)</f>
        <v>10.0785</v>
      </c>
      <c r="E344" s="12">
        <f>10.0658 * CHOOSE( CONTROL!$C$15, $D$11, 100%, $F$11)</f>
        <v>10.065799999999999</v>
      </c>
      <c r="F344" s="4">
        <f>10.7618 * CHOOSE(CONTROL!$C$15, $D$11, 100%, $F$11)</f>
        <v>10.761799999999999</v>
      </c>
      <c r="G344" s="8">
        <f>9.8038 * CHOOSE( CONTROL!$C$15, $D$11, 100%, $F$11)</f>
        <v>9.8038000000000007</v>
      </c>
      <c r="H344" s="4">
        <f>10.7559 * CHOOSE(CONTROL!$C$15, $D$11, 100%, $F$11)</f>
        <v>10.7559</v>
      </c>
      <c r="I344" s="8">
        <f>9.7356 * CHOOSE(CONTROL!$C$15, $D$11, 100%, $F$11)</f>
        <v>9.7355999999999998</v>
      </c>
      <c r="J344" s="4">
        <f>9.6182 * CHOOSE(CONTROL!$C$15, $D$11, 100%, $F$11)</f>
        <v>9.6181999999999999</v>
      </c>
      <c r="K344" s="4"/>
      <c r="L344" s="9">
        <v>30.092199999999998</v>
      </c>
      <c r="M344" s="9">
        <v>11.6745</v>
      </c>
      <c r="N344" s="9">
        <v>4.7850000000000001</v>
      </c>
      <c r="O344" s="9">
        <v>0.36199999999999999</v>
      </c>
      <c r="P344" s="9">
        <v>1.1791</v>
      </c>
      <c r="Q344" s="9">
        <v>19.929600000000001</v>
      </c>
      <c r="R344" s="9"/>
      <c r="S344" s="11"/>
    </row>
    <row r="345" spans="1:19" ht="15.75">
      <c r="A345" s="13">
        <v>52017</v>
      </c>
      <c r="B345" s="8">
        <f>CHOOSE( CONTROL!$C$32, 10.3021, 10.2998) * CHOOSE(CONTROL!$C$15, $D$11, 100%, $F$11)</f>
        <v>10.302099999999999</v>
      </c>
      <c r="C345" s="8">
        <f>CHOOSE( CONTROL!$C$32, 10.3126, 10.3103) * CHOOSE(CONTROL!$C$15, $D$11, 100%, $F$11)</f>
        <v>10.3126</v>
      </c>
      <c r="D345" s="8">
        <f>CHOOSE( CONTROL!$C$32, 10.3465, 10.3442) * CHOOSE( CONTROL!$C$15, $D$11, 100%, $F$11)</f>
        <v>10.346500000000001</v>
      </c>
      <c r="E345" s="12">
        <f>CHOOSE( CONTROL!$C$32, 10.3326, 10.3303) * CHOOSE( CONTROL!$C$15, $D$11, 100%, $F$11)</f>
        <v>10.332599999999999</v>
      </c>
      <c r="F345" s="4">
        <f>CHOOSE( CONTROL!$C$32, 11.031, 11.0287) * CHOOSE(CONTROL!$C$15, $D$11, 100%, $F$11)</f>
        <v>11.031000000000001</v>
      </c>
      <c r="G345" s="8">
        <f>CHOOSE( CONTROL!$C$32, 10.0676, 10.0653) * CHOOSE( CONTROL!$C$15, $D$11, 100%, $F$11)</f>
        <v>10.067600000000001</v>
      </c>
      <c r="H345" s="4">
        <f>CHOOSE( CONTROL!$C$32, 11.0191, 11.0169) * CHOOSE(CONTROL!$C$15, $D$11, 100%, $F$11)</f>
        <v>11.0191</v>
      </c>
      <c r="I345" s="8">
        <f>CHOOSE( CONTROL!$C$32, 9.9943, 9.9921) * CHOOSE(CONTROL!$C$15, $D$11, 100%, $F$11)</f>
        <v>9.9943000000000008</v>
      </c>
      <c r="J345" s="4">
        <f>CHOOSE( CONTROL!$C$32, 9.8767, 9.8745) * CHOOSE(CONTROL!$C$15, $D$11, 100%, $F$11)</f>
        <v>9.8766999999999996</v>
      </c>
      <c r="K345" s="4"/>
      <c r="L345" s="9">
        <v>30.7165</v>
      </c>
      <c r="M345" s="9">
        <v>12.063700000000001</v>
      </c>
      <c r="N345" s="9">
        <v>4.9444999999999997</v>
      </c>
      <c r="O345" s="9">
        <v>0.37409999999999999</v>
      </c>
      <c r="P345" s="9">
        <v>1.2183999999999999</v>
      </c>
      <c r="Q345" s="9">
        <v>20.593900000000001</v>
      </c>
      <c r="R345" s="9"/>
      <c r="S345" s="11"/>
    </row>
    <row r="346" spans="1:19" ht="15.75">
      <c r="A346" s="13">
        <v>52047</v>
      </c>
      <c r="B346" s="8">
        <f>CHOOSE( CONTROL!$C$32, 10.1367, 10.1344) * CHOOSE(CONTROL!$C$15, $D$11, 100%, $F$11)</f>
        <v>10.136699999999999</v>
      </c>
      <c r="C346" s="8">
        <f>CHOOSE( CONTROL!$C$32, 10.1473, 10.145) * CHOOSE(CONTROL!$C$15, $D$11, 100%, $F$11)</f>
        <v>10.1473</v>
      </c>
      <c r="D346" s="8">
        <f>CHOOSE( CONTROL!$C$32, 10.1813, 10.179) * CHOOSE( CONTROL!$C$15, $D$11, 100%, $F$11)</f>
        <v>10.1813</v>
      </c>
      <c r="E346" s="12">
        <f>CHOOSE( CONTROL!$C$32, 10.1674, 10.1651) * CHOOSE( CONTROL!$C$15, $D$11, 100%, $F$11)</f>
        <v>10.167400000000001</v>
      </c>
      <c r="F346" s="4">
        <f>CHOOSE( CONTROL!$C$32, 10.8657, 10.8634) * CHOOSE(CONTROL!$C$15, $D$11, 100%, $F$11)</f>
        <v>10.8657</v>
      </c>
      <c r="G346" s="8">
        <f>CHOOSE( CONTROL!$C$32, 9.9061, 9.9039) * CHOOSE( CONTROL!$C$15, $D$11, 100%, $F$11)</f>
        <v>9.9061000000000003</v>
      </c>
      <c r="H346" s="4">
        <f>CHOOSE( CONTROL!$C$32, 10.8575, 10.8552) * CHOOSE(CONTROL!$C$15, $D$11, 100%, $F$11)</f>
        <v>10.8575</v>
      </c>
      <c r="I346" s="8">
        <f>CHOOSE( CONTROL!$C$32, 9.8362, 9.834) * CHOOSE(CONTROL!$C$15, $D$11, 100%, $F$11)</f>
        <v>9.8361999999999998</v>
      </c>
      <c r="J346" s="4">
        <f>CHOOSE( CONTROL!$C$32, 9.7179, 9.7157) * CHOOSE(CONTROL!$C$15, $D$11, 100%, $F$11)</f>
        <v>9.7179000000000002</v>
      </c>
      <c r="K346" s="4"/>
      <c r="L346" s="9">
        <v>29.7257</v>
      </c>
      <c r="M346" s="9">
        <v>11.6745</v>
      </c>
      <c r="N346" s="9">
        <v>4.7850000000000001</v>
      </c>
      <c r="O346" s="9">
        <v>0.36199999999999999</v>
      </c>
      <c r="P346" s="9">
        <v>1.1791</v>
      </c>
      <c r="Q346" s="9">
        <v>19.929600000000001</v>
      </c>
      <c r="R346" s="9"/>
      <c r="S346" s="11"/>
    </row>
    <row r="347" spans="1:19" ht="15.75">
      <c r="A347" s="13">
        <v>52078</v>
      </c>
      <c r="B347" s="8">
        <f>CHOOSE( CONTROL!$C$32, 10.5722, 10.5699) * CHOOSE(CONTROL!$C$15, $D$11, 100%, $F$11)</f>
        <v>10.5722</v>
      </c>
      <c r="C347" s="8">
        <f>CHOOSE( CONTROL!$C$32, 10.5827, 10.5804) * CHOOSE(CONTROL!$C$15, $D$11, 100%, $F$11)</f>
        <v>10.582700000000001</v>
      </c>
      <c r="D347" s="8">
        <f>CHOOSE( CONTROL!$C$32, 10.6169, 10.6146) * CHOOSE( CONTROL!$C$15, $D$11, 100%, $F$11)</f>
        <v>10.616899999999999</v>
      </c>
      <c r="E347" s="12">
        <f>CHOOSE( CONTROL!$C$32, 10.6029, 10.6006) * CHOOSE( CONTROL!$C$15, $D$11, 100%, $F$11)</f>
        <v>10.6029</v>
      </c>
      <c r="F347" s="4">
        <f>CHOOSE( CONTROL!$C$32, 11.3011, 11.2988) * CHOOSE(CONTROL!$C$15, $D$11, 100%, $F$11)</f>
        <v>11.3011</v>
      </c>
      <c r="G347" s="8">
        <f>CHOOSE( CONTROL!$C$32, 10.3322, 10.3299) * CHOOSE( CONTROL!$C$15, $D$11, 100%, $F$11)</f>
        <v>10.3322</v>
      </c>
      <c r="H347" s="4">
        <f>CHOOSE( CONTROL!$C$32, 11.2832, 11.281) * CHOOSE(CONTROL!$C$15, $D$11, 100%, $F$11)</f>
        <v>11.283200000000001</v>
      </c>
      <c r="I347" s="8">
        <f>CHOOSE( CONTROL!$C$32, 10.2555, 10.2533) * CHOOSE(CONTROL!$C$15, $D$11, 100%, $F$11)</f>
        <v>10.2555</v>
      </c>
      <c r="J347" s="4">
        <f>CHOOSE( CONTROL!$C$32, 10.136, 10.1338) * CHOOSE(CONTROL!$C$15, $D$11, 100%, $F$11)</f>
        <v>10.135999999999999</v>
      </c>
      <c r="K347" s="4"/>
      <c r="L347" s="9">
        <v>30.7165</v>
      </c>
      <c r="M347" s="9">
        <v>12.063700000000001</v>
      </c>
      <c r="N347" s="9">
        <v>4.9444999999999997</v>
      </c>
      <c r="O347" s="9">
        <v>0.37409999999999999</v>
      </c>
      <c r="P347" s="9">
        <v>1.2183999999999999</v>
      </c>
      <c r="Q347" s="9">
        <v>20.593900000000001</v>
      </c>
      <c r="R347" s="9"/>
      <c r="S347" s="11"/>
    </row>
    <row r="348" spans="1:19" ht="15.75">
      <c r="A348" s="13">
        <v>52109</v>
      </c>
      <c r="B348" s="8">
        <f>CHOOSE( CONTROL!$C$32, 9.7574, 9.7551) * CHOOSE(CONTROL!$C$15, $D$11, 100%, $F$11)</f>
        <v>9.7574000000000005</v>
      </c>
      <c r="C348" s="8">
        <f>CHOOSE( CONTROL!$C$32, 9.768, 9.7657) * CHOOSE(CONTROL!$C$15, $D$11, 100%, $F$11)</f>
        <v>9.7680000000000007</v>
      </c>
      <c r="D348" s="8">
        <f>CHOOSE( CONTROL!$C$32, 9.8022, 9.7999) * CHOOSE( CONTROL!$C$15, $D$11, 100%, $F$11)</f>
        <v>9.8021999999999991</v>
      </c>
      <c r="E348" s="12">
        <f>CHOOSE( CONTROL!$C$32, 9.7882, 9.7859) * CHOOSE( CONTROL!$C$15, $D$11, 100%, $F$11)</f>
        <v>9.7881999999999998</v>
      </c>
      <c r="F348" s="4">
        <f>CHOOSE( CONTROL!$C$32, 10.4863, 10.484) * CHOOSE(CONTROL!$C$15, $D$11, 100%, $F$11)</f>
        <v>10.4863</v>
      </c>
      <c r="G348" s="8">
        <f>CHOOSE( CONTROL!$C$32, 9.5357, 9.5334) * CHOOSE( CONTROL!$C$15, $D$11, 100%, $F$11)</f>
        <v>9.5357000000000003</v>
      </c>
      <c r="H348" s="4">
        <f>CHOOSE( CONTROL!$C$32, 10.4866, 10.4844) * CHOOSE(CONTROL!$C$15, $D$11, 100%, $F$11)</f>
        <v>10.486599999999999</v>
      </c>
      <c r="I348" s="8">
        <f>CHOOSE( CONTROL!$C$32, 9.4731, 9.4709) * CHOOSE(CONTROL!$C$15, $D$11, 100%, $F$11)</f>
        <v>9.4731000000000005</v>
      </c>
      <c r="J348" s="4">
        <f>CHOOSE( CONTROL!$C$32, 9.3537, 9.3515) * CHOOSE(CONTROL!$C$15, $D$11, 100%, $F$11)</f>
        <v>9.3536999999999999</v>
      </c>
      <c r="K348" s="4"/>
      <c r="L348" s="9">
        <v>30.7165</v>
      </c>
      <c r="M348" s="9">
        <v>12.063700000000001</v>
      </c>
      <c r="N348" s="9">
        <v>4.9444999999999997</v>
      </c>
      <c r="O348" s="9">
        <v>0.37409999999999999</v>
      </c>
      <c r="P348" s="9">
        <v>1.2183999999999999</v>
      </c>
      <c r="Q348" s="9">
        <v>20.593900000000001</v>
      </c>
      <c r="R348" s="9"/>
      <c r="S348" s="11"/>
    </row>
    <row r="349" spans="1:19" ht="15.75">
      <c r="A349" s="13">
        <v>52139</v>
      </c>
      <c r="B349" s="8">
        <f>CHOOSE( CONTROL!$C$32, 9.5534, 9.5511) * CHOOSE(CONTROL!$C$15, $D$11, 100%, $F$11)</f>
        <v>9.5533999999999999</v>
      </c>
      <c r="C349" s="8">
        <f>CHOOSE( CONTROL!$C$32, 9.5639, 9.5616) * CHOOSE(CONTROL!$C$15, $D$11, 100%, $F$11)</f>
        <v>9.5639000000000003</v>
      </c>
      <c r="D349" s="8">
        <f>CHOOSE( CONTROL!$C$32, 9.5982, 9.5959) * CHOOSE( CONTROL!$C$15, $D$11, 100%, $F$11)</f>
        <v>9.5982000000000003</v>
      </c>
      <c r="E349" s="12">
        <f>CHOOSE( CONTROL!$C$32, 9.5842, 9.5819) * CHOOSE( CONTROL!$C$15, $D$11, 100%, $F$11)</f>
        <v>9.5841999999999992</v>
      </c>
      <c r="F349" s="4">
        <f>CHOOSE( CONTROL!$C$32, 10.2823, 10.28) * CHOOSE(CONTROL!$C$15, $D$11, 100%, $F$11)</f>
        <v>10.282299999999999</v>
      </c>
      <c r="G349" s="8">
        <f>CHOOSE( CONTROL!$C$32, 9.3362, 9.3339) * CHOOSE( CONTROL!$C$15, $D$11, 100%, $F$11)</f>
        <v>9.3361999999999998</v>
      </c>
      <c r="H349" s="4">
        <f>CHOOSE( CONTROL!$C$32, 10.2871, 10.2849) * CHOOSE(CONTROL!$C$15, $D$11, 100%, $F$11)</f>
        <v>10.287100000000001</v>
      </c>
      <c r="I349" s="8">
        <f>CHOOSE( CONTROL!$C$32, 9.277, 9.2748) * CHOOSE(CONTROL!$C$15, $D$11, 100%, $F$11)</f>
        <v>9.2769999999999992</v>
      </c>
      <c r="J349" s="4">
        <f>CHOOSE( CONTROL!$C$32, 9.1579, 9.1557) * CHOOSE(CONTROL!$C$15, $D$11, 100%, $F$11)</f>
        <v>9.1578999999999997</v>
      </c>
      <c r="K349" s="4"/>
      <c r="L349" s="9">
        <v>29.7257</v>
      </c>
      <c r="M349" s="9">
        <v>11.6745</v>
      </c>
      <c r="N349" s="9">
        <v>4.7850000000000001</v>
      </c>
      <c r="O349" s="9">
        <v>0.36199999999999999</v>
      </c>
      <c r="P349" s="9">
        <v>1.1791</v>
      </c>
      <c r="Q349" s="9">
        <v>19.929600000000001</v>
      </c>
      <c r="R349" s="9"/>
      <c r="S349" s="11"/>
    </row>
    <row r="350" spans="1:19" ht="15.75">
      <c r="A350" s="13">
        <v>52170</v>
      </c>
      <c r="B350" s="8">
        <f>9.9748 * CHOOSE(CONTROL!$C$15, $D$11, 100%, $F$11)</f>
        <v>9.9748000000000001</v>
      </c>
      <c r="C350" s="8">
        <f>9.9856 * CHOOSE(CONTROL!$C$15, $D$11, 100%, $F$11)</f>
        <v>9.9855999999999998</v>
      </c>
      <c r="D350" s="8">
        <f>10.021 * CHOOSE( CONTROL!$C$15, $D$11, 100%, $F$11)</f>
        <v>10.021000000000001</v>
      </c>
      <c r="E350" s="12">
        <f>10.0082 * CHOOSE( CONTROL!$C$15, $D$11, 100%, $F$11)</f>
        <v>10.0082</v>
      </c>
      <c r="F350" s="4">
        <f>10.7036 * CHOOSE(CONTROL!$C$15, $D$11, 100%, $F$11)</f>
        <v>10.7036</v>
      </c>
      <c r="G350" s="8">
        <f>9.7479 * CHOOSE( CONTROL!$C$15, $D$11, 100%, $F$11)</f>
        <v>9.7478999999999996</v>
      </c>
      <c r="H350" s="4">
        <f>10.6991 * CHOOSE(CONTROL!$C$15, $D$11, 100%, $F$11)</f>
        <v>10.6991</v>
      </c>
      <c r="I350" s="8">
        <f>9.6826 * CHOOSE(CONTROL!$C$15, $D$11, 100%, $F$11)</f>
        <v>9.6826000000000008</v>
      </c>
      <c r="J350" s="4">
        <f>9.5624 * CHOOSE(CONTROL!$C$15, $D$11, 100%, $F$11)</f>
        <v>9.5624000000000002</v>
      </c>
      <c r="K350" s="4"/>
      <c r="L350" s="9">
        <v>31.095300000000002</v>
      </c>
      <c r="M350" s="9">
        <v>12.063700000000001</v>
      </c>
      <c r="N350" s="9">
        <v>4.9444999999999997</v>
      </c>
      <c r="O350" s="9">
        <v>0.37409999999999999</v>
      </c>
      <c r="P350" s="9">
        <v>1.2183999999999999</v>
      </c>
      <c r="Q350" s="9">
        <v>20.593900000000001</v>
      </c>
      <c r="R350" s="9"/>
      <c r="S350" s="11"/>
    </row>
    <row r="351" spans="1:19" ht="15.75">
      <c r="A351" s="13">
        <v>52200</v>
      </c>
      <c r="B351" s="8">
        <f>10.7568 * CHOOSE(CONTROL!$C$15, $D$11, 100%, $F$11)</f>
        <v>10.7568</v>
      </c>
      <c r="C351" s="8">
        <f>10.7675 * CHOOSE(CONTROL!$C$15, $D$11, 100%, $F$11)</f>
        <v>10.7675</v>
      </c>
      <c r="D351" s="8">
        <f>10.7436 * CHOOSE( CONTROL!$C$15, $D$11, 100%, $F$11)</f>
        <v>10.743600000000001</v>
      </c>
      <c r="E351" s="12">
        <f>10.7512 * CHOOSE( CONTROL!$C$15, $D$11, 100%, $F$11)</f>
        <v>10.751200000000001</v>
      </c>
      <c r="F351" s="4">
        <f>11.4179 * CHOOSE(CONTROL!$C$15, $D$11, 100%, $F$11)</f>
        <v>11.417899999999999</v>
      </c>
      <c r="G351" s="8">
        <f>10.5124 * CHOOSE( CONTROL!$C$15, $D$11, 100%, $F$11)</f>
        <v>10.5124</v>
      </c>
      <c r="H351" s="4">
        <f>11.3974 * CHOOSE(CONTROL!$C$15, $D$11, 100%, $F$11)</f>
        <v>11.397399999999999</v>
      </c>
      <c r="I351" s="8">
        <f>10.4771 * CHOOSE(CONTROL!$C$15, $D$11, 100%, $F$11)</f>
        <v>10.4771</v>
      </c>
      <c r="J351" s="4">
        <f>10.3131 * CHOOSE(CONTROL!$C$15, $D$11, 100%, $F$11)</f>
        <v>10.3131</v>
      </c>
      <c r="K351" s="4"/>
      <c r="L351" s="9">
        <v>28.360600000000002</v>
      </c>
      <c r="M351" s="9">
        <v>11.6745</v>
      </c>
      <c r="N351" s="9">
        <v>4.7850000000000001</v>
      </c>
      <c r="O351" s="9">
        <v>0.36199999999999999</v>
      </c>
      <c r="P351" s="9">
        <v>1.2509999999999999</v>
      </c>
      <c r="Q351" s="9">
        <v>19.929600000000001</v>
      </c>
      <c r="R351" s="9"/>
      <c r="S351" s="11"/>
    </row>
    <row r="352" spans="1:19" ht="15.75">
      <c r="A352" s="13">
        <v>52231</v>
      </c>
      <c r="B352" s="8">
        <f>10.7372 * CHOOSE(CONTROL!$C$15, $D$11, 100%, $F$11)</f>
        <v>10.7372</v>
      </c>
      <c r="C352" s="8">
        <f>10.748 * CHOOSE(CONTROL!$C$15, $D$11, 100%, $F$11)</f>
        <v>10.747999999999999</v>
      </c>
      <c r="D352" s="8">
        <f>10.7257 * CHOOSE( CONTROL!$C$15, $D$11, 100%, $F$11)</f>
        <v>10.7257</v>
      </c>
      <c r="E352" s="12">
        <f>10.7327 * CHOOSE( CONTROL!$C$15, $D$11, 100%, $F$11)</f>
        <v>10.732699999999999</v>
      </c>
      <c r="F352" s="4">
        <f>11.3983 * CHOOSE(CONTROL!$C$15, $D$11, 100%, $F$11)</f>
        <v>11.398300000000001</v>
      </c>
      <c r="G352" s="8">
        <f>10.4945 * CHOOSE( CONTROL!$C$15, $D$11, 100%, $F$11)</f>
        <v>10.4945</v>
      </c>
      <c r="H352" s="4">
        <f>11.3783 * CHOOSE(CONTROL!$C$15, $D$11, 100%, $F$11)</f>
        <v>11.378299999999999</v>
      </c>
      <c r="I352" s="8">
        <f>10.4635 * CHOOSE(CONTROL!$C$15, $D$11, 100%, $F$11)</f>
        <v>10.4635</v>
      </c>
      <c r="J352" s="4">
        <f>10.2944 * CHOOSE(CONTROL!$C$15, $D$11, 100%, $F$11)</f>
        <v>10.2944</v>
      </c>
      <c r="K352" s="4"/>
      <c r="L352" s="9">
        <v>29.306000000000001</v>
      </c>
      <c r="M352" s="9">
        <v>12.063700000000001</v>
      </c>
      <c r="N352" s="9">
        <v>4.9444999999999997</v>
      </c>
      <c r="O352" s="9">
        <v>0.37409999999999999</v>
      </c>
      <c r="P352" s="9">
        <v>1.2927</v>
      </c>
      <c r="Q352" s="9">
        <v>20.593900000000001</v>
      </c>
      <c r="R352" s="9"/>
      <c r="S352" s="11"/>
    </row>
    <row r="353" spans="1:19" ht="15.75">
      <c r="A353" s="13">
        <v>52262</v>
      </c>
      <c r="B353" s="8">
        <f>11.0535 * CHOOSE(CONTROL!$C$15, $D$11, 100%, $F$11)</f>
        <v>11.0535</v>
      </c>
      <c r="C353" s="8">
        <f>11.0643 * CHOOSE(CONTROL!$C$15, $D$11, 100%, $F$11)</f>
        <v>11.064299999999999</v>
      </c>
      <c r="D353" s="8">
        <f>11.0459 * CHOOSE( CONTROL!$C$15, $D$11, 100%, $F$11)</f>
        <v>11.0459</v>
      </c>
      <c r="E353" s="12">
        <f>11.0515 * CHOOSE( CONTROL!$C$15, $D$11, 100%, $F$11)</f>
        <v>11.051500000000001</v>
      </c>
      <c r="F353" s="4">
        <f>11.7146 * CHOOSE(CONTROL!$C$15, $D$11, 100%, $F$11)</f>
        <v>11.714600000000001</v>
      </c>
      <c r="G353" s="8">
        <f>10.7993 * CHOOSE( CONTROL!$C$15, $D$11, 100%, $F$11)</f>
        <v>10.799300000000001</v>
      </c>
      <c r="H353" s="4">
        <f>11.6875 * CHOOSE(CONTROL!$C$15, $D$11, 100%, $F$11)</f>
        <v>11.6875</v>
      </c>
      <c r="I353" s="8">
        <f>10.7227 * CHOOSE(CONTROL!$C$15, $D$11, 100%, $F$11)</f>
        <v>10.7227</v>
      </c>
      <c r="J353" s="4">
        <f>10.598 * CHOOSE(CONTROL!$C$15, $D$11, 100%, $F$11)</f>
        <v>10.598000000000001</v>
      </c>
      <c r="K353" s="4"/>
      <c r="L353" s="9">
        <v>29.306000000000001</v>
      </c>
      <c r="M353" s="9">
        <v>12.063700000000001</v>
      </c>
      <c r="N353" s="9">
        <v>4.9444999999999997</v>
      </c>
      <c r="O353" s="9">
        <v>0.37409999999999999</v>
      </c>
      <c r="P353" s="9">
        <v>1.2927</v>
      </c>
      <c r="Q353" s="9">
        <v>20.5288</v>
      </c>
      <c r="R353" s="9"/>
      <c r="S353" s="11"/>
    </row>
    <row r="354" spans="1:19" ht="15.75">
      <c r="A354" s="13">
        <v>52290</v>
      </c>
      <c r="B354" s="8">
        <f>10.3399 * CHOOSE(CONTROL!$C$15, $D$11, 100%, $F$11)</f>
        <v>10.3399</v>
      </c>
      <c r="C354" s="8">
        <f>10.3507 * CHOOSE(CONTROL!$C$15, $D$11, 100%, $F$11)</f>
        <v>10.3507</v>
      </c>
      <c r="D354" s="8">
        <f>10.3321 * CHOOSE( CONTROL!$C$15, $D$11, 100%, $F$11)</f>
        <v>10.332100000000001</v>
      </c>
      <c r="E354" s="12">
        <f>10.3378 * CHOOSE( CONTROL!$C$15, $D$11, 100%, $F$11)</f>
        <v>10.3378</v>
      </c>
      <c r="F354" s="4">
        <f>11.001 * CHOOSE(CONTROL!$C$15, $D$11, 100%, $F$11)</f>
        <v>11.000999999999999</v>
      </c>
      <c r="G354" s="8">
        <f>10.1015 * CHOOSE( CONTROL!$C$15, $D$11, 100%, $F$11)</f>
        <v>10.1015</v>
      </c>
      <c r="H354" s="4">
        <f>10.9898 * CHOOSE(CONTROL!$C$15, $D$11, 100%, $F$11)</f>
        <v>10.989800000000001</v>
      </c>
      <c r="I354" s="8">
        <f>10.0367 * CHOOSE(CONTROL!$C$15, $D$11, 100%, $F$11)</f>
        <v>10.0367</v>
      </c>
      <c r="J354" s="4">
        <f>9.9129 * CHOOSE(CONTROL!$C$15, $D$11, 100%, $F$11)</f>
        <v>9.9129000000000005</v>
      </c>
      <c r="K354" s="4"/>
      <c r="L354" s="9">
        <v>26.469899999999999</v>
      </c>
      <c r="M354" s="9">
        <v>10.8962</v>
      </c>
      <c r="N354" s="9">
        <v>4.4660000000000002</v>
      </c>
      <c r="O354" s="9">
        <v>0.33789999999999998</v>
      </c>
      <c r="P354" s="9">
        <v>1.1676</v>
      </c>
      <c r="Q354" s="9">
        <v>18.542200000000001</v>
      </c>
      <c r="R354" s="9"/>
      <c r="S354" s="11"/>
    </row>
    <row r="355" spans="1:19" ht="15.75">
      <c r="A355" s="13">
        <v>52321</v>
      </c>
      <c r="B355" s="8">
        <f>10.1201 * CHOOSE(CONTROL!$C$15, $D$11, 100%, $F$11)</f>
        <v>10.120100000000001</v>
      </c>
      <c r="C355" s="8">
        <f>10.1309 * CHOOSE(CONTROL!$C$15, $D$11, 100%, $F$11)</f>
        <v>10.1309</v>
      </c>
      <c r="D355" s="8">
        <f>10.1118 * CHOOSE( CONTROL!$C$15, $D$11, 100%, $F$11)</f>
        <v>10.111800000000001</v>
      </c>
      <c r="E355" s="12">
        <f>10.1176 * CHOOSE( CONTROL!$C$15, $D$11, 100%, $F$11)</f>
        <v>10.117599999999999</v>
      </c>
      <c r="F355" s="4">
        <f>10.7812 * CHOOSE(CONTROL!$C$15, $D$11, 100%, $F$11)</f>
        <v>10.7812</v>
      </c>
      <c r="G355" s="8">
        <f>9.8863 * CHOOSE( CONTROL!$C$15, $D$11, 100%, $F$11)</f>
        <v>9.8863000000000003</v>
      </c>
      <c r="H355" s="4">
        <f>10.7749 * CHOOSE(CONTROL!$C$15, $D$11, 100%, $F$11)</f>
        <v>10.774900000000001</v>
      </c>
      <c r="I355" s="8">
        <f>9.824 * CHOOSE(CONTROL!$C$15, $D$11, 100%, $F$11)</f>
        <v>9.8239999999999998</v>
      </c>
      <c r="J355" s="4">
        <f>9.7018 * CHOOSE(CONTROL!$C$15, $D$11, 100%, $F$11)</f>
        <v>9.7018000000000004</v>
      </c>
      <c r="K355" s="4"/>
      <c r="L355" s="9">
        <v>29.306000000000001</v>
      </c>
      <c r="M355" s="9">
        <v>12.063700000000001</v>
      </c>
      <c r="N355" s="9">
        <v>4.9444999999999997</v>
      </c>
      <c r="O355" s="9">
        <v>0.37409999999999999</v>
      </c>
      <c r="P355" s="9">
        <v>1.2927</v>
      </c>
      <c r="Q355" s="9">
        <v>20.5288</v>
      </c>
      <c r="R355" s="9"/>
      <c r="S355" s="11"/>
    </row>
    <row r="356" spans="1:19" ht="15.75">
      <c r="A356" s="13">
        <v>52351</v>
      </c>
      <c r="B356" s="8">
        <f>10.2736 * CHOOSE(CONTROL!$C$15, $D$11, 100%, $F$11)</f>
        <v>10.2736</v>
      </c>
      <c r="C356" s="8">
        <f>10.2844 * CHOOSE(CONTROL!$C$15, $D$11, 100%, $F$11)</f>
        <v>10.2844</v>
      </c>
      <c r="D356" s="8">
        <f>10.3192 * CHOOSE( CONTROL!$C$15, $D$11, 100%, $F$11)</f>
        <v>10.3192</v>
      </c>
      <c r="E356" s="12">
        <f>10.3065 * CHOOSE( CONTROL!$C$15, $D$11, 100%, $F$11)</f>
        <v>10.3065</v>
      </c>
      <c r="F356" s="4">
        <f>11.0025 * CHOOSE(CONTROL!$C$15, $D$11, 100%, $F$11)</f>
        <v>11.0025</v>
      </c>
      <c r="G356" s="8">
        <f>10.0392 * CHOOSE( CONTROL!$C$15, $D$11, 100%, $F$11)</f>
        <v>10.039199999999999</v>
      </c>
      <c r="H356" s="4">
        <f>10.9913 * CHOOSE(CONTROL!$C$15, $D$11, 100%, $F$11)</f>
        <v>10.991300000000001</v>
      </c>
      <c r="I356" s="8">
        <f>9.9668 * CHOOSE(CONTROL!$C$15, $D$11, 100%, $F$11)</f>
        <v>9.9667999999999992</v>
      </c>
      <c r="J356" s="4">
        <f>9.8493 * CHOOSE(CONTROL!$C$15, $D$11, 100%, $F$11)</f>
        <v>9.8492999999999995</v>
      </c>
      <c r="K356" s="4"/>
      <c r="L356" s="9">
        <v>30.092199999999998</v>
      </c>
      <c r="M356" s="9">
        <v>11.6745</v>
      </c>
      <c r="N356" s="9">
        <v>4.7850000000000001</v>
      </c>
      <c r="O356" s="9">
        <v>0.36199999999999999</v>
      </c>
      <c r="P356" s="9">
        <v>1.1791</v>
      </c>
      <c r="Q356" s="9">
        <v>19.866599999999998</v>
      </c>
      <c r="R356" s="9"/>
      <c r="S356" s="11"/>
    </row>
    <row r="357" spans="1:19" ht="15.75">
      <c r="A357" s="13">
        <v>52382</v>
      </c>
      <c r="B357" s="8">
        <f>CHOOSE( CONTROL!$C$32, 10.5492, 10.5469) * CHOOSE(CONTROL!$C$15, $D$11, 100%, $F$11)</f>
        <v>10.549200000000001</v>
      </c>
      <c r="C357" s="8">
        <f>CHOOSE( CONTROL!$C$32, 10.5598, 10.5575) * CHOOSE(CONTROL!$C$15, $D$11, 100%, $F$11)</f>
        <v>10.559799999999999</v>
      </c>
      <c r="D357" s="8">
        <f>CHOOSE( CONTROL!$C$32, 10.5936, 10.5913) * CHOOSE( CONTROL!$C$15, $D$11, 100%, $F$11)</f>
        <v>10.5936</v>
      </c>
      <c r="E357" s="12">
        <f>CHOOSE( CONTROL!$C$32, 10.5797, 10.5774) * CHOOSE( CONTROL!$C$15, $D$11, 100%, $F$11)</f>
        <v>10.579700000000001</v>
      </c>
      <c r="F357" s="4">
        <f>CHOOSE( CONTROL!$C$32, 11.2781, 11.2758) * CHOOSE(CONTROL!$C$15, $D$11, 100%, $F$11)</f>
        <v>11.2781</v>
      </c>
      <c r="G357" s="8">
        <f>CHOOSE( CONTROL!$C$32, 10.3092, 10.3069) * CHOOSE( CONTROL!$C$15, $D$11, 100%, $F$11)</f>
        <v>10.309200000000001</v>
      </c>
      <c r="H357" s="4">
        <f>CHOOSE( CONTROL!$C$32, 11.2608, 11.2585) * CHOOSE(CONTROL!$C$15, $D$11, 100%, $F$11)</f>
        <v>11.2608</v>
      </c>
      <c r="I357" s="8">
        <f>CHOOSE( CONTROL!$C$32, 10.2317, 10.2295) * CHOOSE(CONTROL!$C$15, $D$11, 100%, $F$11)</f>
        <v>10.2317</v>
      </c>
      <c r="J357" s="4">
        <f>CHOOSE( CONTROL!$C$32, 10.114, 10.1117) * CHOOSE(CONTROL!$C$15, $D$11, 100%, $F$11)</f>
        <v>10.114000000000001</v>
      </c>
      <c r="K357" s="4"/>
      <c r="L357" s="9">
        <v>30.7165</v>
      </c>
      <c r="M357" s="9">
        <v>12.063700000000001</v>
      </c>
      <c r="N357" s="9">
        <v>4.9444999999999997</v>
      </c>
      <c r="O357" s="9">
        <v>0.37409999999999999</v>
      </c>
      <c r="P357" s="9">
        <v>1.2183999999999999</v>
      </c>
      <c r="Q357" s="9">
        <v>20.5288</v>
      </c>
      <c r="R357" s="9"/>
      <c r="S357" s="11"/>
    </row>
    <row r="358" spans="1:19" ht="15.75">
      <c r="A358" s="13">
        <v>52412</v>
      </c>
      <c r="B358" s="8">
        <f>CHOOSE( CONTROL!$C$32, 10.3799, 10.3776) * CHOOSE(CONTROL!$C$15, $D$11, 100%, $F$11)</f>
        <v>10.379899999999999</v>
      </c>
      <c r="C358" s="8">
        <f>CHOOSE( CONTROL!$C$32, 10.3904, 10.3881) * CHOOSE(CONTROL!$C$15, $D$11, 100%, $F$11)</f>
        <v>10.3904</v>
      </c>
      <c r="D358" s="8">
        <f>CHOOSE( CONTROL!$C$32, 10.4244, 10.4221) * CHOOSE( CONTROL!$C$15, $D$11, 100%, $F$11)</f>
        <v>10.4244</v>
      </c>
      <c r="E358" s="12">
        <f>CHOOSE( CONTROL!$C$32, 10.4105, 10.4082) * CHOOSE( CONTROL!$C$15, $D$11, 100%, $F$11)</f>
        <v>10.410500000000001</v>
      </c>
      <c r="F358" s="4">
        <f>CHOOSE( CONTROL!$C$32, 11.1088, 11.1065) * CHOOSE(CONTROL!$C$15, $D$11, 100%, $F$11)</f>
        <v>11.1088</v>
      </c>
      <c r="G358" s="8">
        <f>CHOOSE( CONTROL!$C$32, 10.1439, 10.1416) * CHOOSE( CONTROL!$C$15, $D$11, 100%, $F$11)</f>
        <v>10.1439</v>
      </c>
      <c r="H358" s="4">
        <f>CHOOSE( CONTROL!$C$32, 11.0952, 11.093) * CHOOSE(CONTROL!$C$15, $D$11, 100%, $F$11)</f>
        <v>11.0952</v>
      </c>
      <c r="I358" s="8">
        <f>CHOOSE( CONTROL!$C$32, 10.0698, 10.0676) * CHOOSE(CONTROL!$C$15, $D$11, 100%, $F$11)</f>
        <v>10.069800000000001</v>
      </c>
      <c r="J358" s="4">
        <f>CHOOSE( CONTROL!$C$32, 9.9514, 9.9492) * CHOOSE(CONTROL!$C$15, $D$11, 100%, $F$11)</f>
        <v>9.9513999999999996</v>
      </c>
      <c r="K358" s="4"/>
      <c r="L358" s="9">
        <v>29.7257</v>
      </c>
      <c r="M358" s="9">
        <v>11.6745</v>
      </c>
      <c r="N358" s="9">
        <v>4.7850000000000001</v>
      </c>
      <c r="O358" s="9">
        <v>0.36199999999999999</v>
      </c>
      <c r="P358" s="9">
        <v>1.1791</v>
      </c>
      <c r="Q358" s="9">
        <v>19.866599999999998</v>
      </c>
      <c r="R358" s="9"/>
      <c r="S358" s="11"/>
    </row>
    <row r="359" spans="1:19" ht="15.75">
      <c r="A359" s="13">
        <v>52443</v>
      </c>
      <c r="B359" s="8">
        <f>CHOOSE( CONTROL!$C$32, 10.8258, 10.8235) * CHOOSE(CONTROL!$C$15, $D$11, 100%, $F$11)</f>
        <v>10.825799999999999</v>
      </c>
      <c r="C359" s="8">
        <f>CHOOSE( CONTROL!$C$32, 10.8363, 10.834) * CHOOSE(CONTROL!$C$15, $D$11, 100%, $F$11)</f>
        <v>10.8363</v>
      </c>
      <c r="D359" s="8">
        <f>CHOOSE( CONTROL!$C$32, 10.8705, 10.8682) * CHOOSE( CONTROL!$C$15, $D$11, 100%, $F$11)</f>
        <v>10.8705</v>
      </c>
      <c r="E359" s="12">
        <f>CHOOSE( CONTROL!$C$32, 10.8565, 10.8542) * CHOOSE( CONTROL!$C$15, $D$11, 100%, $F$11)</f>
        <v>10.8565</v>
      </c>
      <c r="F359" s="4">
        <f>CHOOSE( CONTROL!$C$32, 11.5547, 11.5524) * CHOOSE(CONTROL!$C$15, $D$11, 100%, $F$11)</f>
        <v>11.5547</v>
      </c>
      <c r="G359" s="8">
        <f>CHOOSE( CONTROL!$C$32, 10.5801, 10.5779) * CHOOSE( CONTROL!$C$15, $D$11, 100%, $F$11)</f>
        <v>10.5801</v>
      </c>
      <c r="H359" s="4">
        <f>CHOOSE( CONTROL!$C$32, 11.5312, 11.5289) * CHOOSE(CONTROL!$C$15, $D$11, 100%, $F$11)</f>
        <v>11.5312</v>
      </c>
      <c r="I359" s="8">
        <f>CHOOSE( CONTROL!$C$32, 10.4991, 10.4969) * CHOOSE(CONTROL!$C$15, $D$11, 100%, $F$11)</f>
        <v>10.4991</v>
      </c>
      <c r="J359" s="4">
        <f>CHOOSE( CONTROL!$C$32, 10.3795, 10.3773) * CHOOSE(CONTROL!$C$15, $D$11, 100%, $F$11)</f>
        <v>10.3795</v>
      </c>
      <c r="K359" s="4"/>
      <c r="L359" s="9">
        <v>30.7165</v>
      </c>
      <c r="M359" s="9">
        <v>12.063700000000001</v>
      </c>
      <c r="N359" s="9">
        <v>4.9444999999999997</v>
      </c>
      <c r="O359" s="9">
        <v>0.37409999999999999</v>
      </c>
      <c r="P359" s="9">
        <v>1.2183999999999999</v>
      </c>
      <c r="Q359" s="9">
        <v>20.5288</v>
      </c>
      <c r="R359" s="9"/>
      <c r="S359" s="11"/>
    </row>
    <row r="360" spans="1:19" ht="15.75">
      <c r="A360" s="13">
        <v>52474</v>
      </c>
      <c r="B360" s="8">
        <f>CHOOSE( CONTROL!$C$32, 9.9914, 9.9891) * CHOOSE(CONTROL!$C$15, $D$11, 100%, $F$11)</f>
        <v>9.9914000000000005</v>
      </c>
      <c r="C360" s="8">
        <f>CHOOSE( CONTROL!$C$32, 10.002, 9.9997) * CHOOSE(CONTROL!$C$15, $D$11, 100%, $F$11)</f>
        <v>10.002000000000001</v>
      </c>
      <c r="D360" s="8">
        <f>CHOOSE( CONTROL!$C$32, 10.0363, 10.034) * CHOOSE( CONTROL!$C$15, $D$11, 100%, $F$11)</f>
        <v>10.036300000000001</v>
      </c>
      <c r="E360" s="12">
        <f>CHOOSE( CONTROL!$C$32, 10.0223, 10.02) * CHOOSE( CONTROL!$C$15, $D$11, 100%, $F$11)</f>
        <v>10.0223</v>
      </c>
      <c r="F360" s="4">
        <f>CHOOSE( CONTROL!$C$32, 10.7204, 10.7181) * CHOOSE(CONTROL!$C$15, $D$11, 100%, $F$11)</f>
        <v>10.7204</v>
      </c>
      <c r="G360" s="8">
        <f>CHOOSE( CONTROL!$C$32, 9.7645, 9.7623) * CHOOSE( CONTROL!$C$15, $D$11, 100%, $F$11)</f>
        <v>9.7645</v>
      </c>
      <c r="H360" s="4">
        <f>CHOOSE( CONTROL!$C$32, 10.7154, 10.7132) * CHOOSE(CONTROL!$C$15, $D$11, 100%, $F$11)</f>
        <v>10.715400000000001</v>
      </c>
      <c r="I360" s="8">
        <f>CHOOSE( CONTROL!$C$32, 9.6979, 9.6957) * CHOOSE(CONTROL!$C$15, $D$11, 100%, $F$11)</f>
        <v>9.6979000000000006</v>
      </c>
      <c r="J360" s="4">
        <f>CHOOSE( CONTROL!$C$32, 9.5784, 9.5762) * CHOOSE(CONTROL!$C$15, $D$11, 100%, $F$11)</f>
        <v>9.5784000000000002</v>
      </c>
      <c r="K360" s="4"/>
      <c r="L360" s="9">
        <v>30.7165</v>
      </c>
      <c r="M360" s="9">
        <v>12.063700000000001</v>
      </c>
      <c r="N360" s="9">
        <v>4.9444999999999997</v>
      </c>
      <c r="O360" s="9">
        <v>0.37409999999999999</v>
      </c>
      <c r="P360" s="9">
        <v>1.2183999999999999</v>
      </c>
      <c r="Q360" s="9">
        <v>20.5288</v>
      </c>
      <c r="R360" s="9"/>
      <c r="S360" s="11"/>
    </row>
    <row r="361" spans="1:19" ht="15.75">
      <c r="A361" s="13">
        <v>52504</v>
      </c>
      <c r="B361" s="8">
        <f>CHOOSE( CONTROL!$C$32, 9.7825, 9.7802) * CHOOSE(CONTROL!$C$15, $D$11, 100%, $F$11)</f>
        <v>9.7825000000000006</v>
      </c>
      <c r="C361" s="8">
        <f>CHOOSE( CONTROL!$C$32, 9.7931, 9.7908) * CHOOSE(CONTROL!$C$15, $D$11, 100%, $F$11)</f>
        <v>9.7931000000000008</v>
      </c>
      <c r="D361" s="8">
        <f>CHOOSE( CONTROL!$C$32, 9.8273, 9.825) * CHOOSE( CONTROL!$C$15, $D$11, 100%, $F$11)</f>
        <v>9.8272999999999993</v>
      </c>
      <c r="E361" s="12">
        <f>CHOOSE( CONTROL!$C$32, 9.8133, 9.811) * CHOOSE( CONTROL!$C$15, $D$11, 100%, $F$11)</f>
        <v>9.8132999999999999</v>
      </c>
      <c r="F361" s="4">
        <f>CHOOSE( CONTROL!$C$32, 10.5114, 10.5091) * CHOOSE(CONTROL!$C$15, $D$11, 100%, $F$11)</f>
        <v>10.5114</v>
      </c>
      <c r="G361" s="8">
        <f>CHOOSE( CONTROL!$C$32, 9.5602, 9.5579) * CHOOSE( CONTROL!$C$15, $D$11, 100%, $F$11)</f>
        <v>9.5602</v>
      </c>
      <c r="H361" s="4">
        <f>CHOOSE( CONTROL!$C$32, 10.5112, 10.5089) * CHOOSE(CONTROL!$C$15, $D$11, 100%, $F$11)</f>
        <v>10.511200000000001</v>
      </c>
      <c r="I361" s="8">
        <f>CHOOSE( CONTROL!$C$32, 9.4971, 9.4949) * CHOOSE(CONTROL!$C$15, $D$11, 100%, $F$11)</f>
        <v>9.4970999999999997</v>
      </c>
      <c r="J361" s="4">
        <f>CHOOSE( CONTROL!$C$32, 9.3779, 9.3756) * CHOOSE(CONTROL!$C$15, $D$11, 100%, $F$11)</f>
        <v>9.3779000000000003</v>
      </c>
      <c r="K361" s="4"/>
      <c r="L361" s="9">
        <v>29.7257</v>
      </c>
      <c r="M361" s="9">
        <v>11.6745</v>
      </c>
      <c r="N361" s="9">
        <v>4.7850000000000001</v>
      </c>
      <c r="O361" s="9">
        <v>0.36199999999999999</v>
      </c>
      <c r="P361" s="9">
        <v>1.1791</v>
      </c>
      <c r="Q361" s="9">
        <v>19.866599999999998</v>
      </c>
      <c r="R361" s="9"/>
      <c r="S361" s="11"/>
    </row>
    <row r="362" spans="1:19" ht="15.75">
      <c r="A362" s="13">
        <v>52535</v>
      </c>
      <c r="B362" s="8">
        <f>10.2141 * CHOOSE(CONTROL!$C$15, $D$11, 100%, $F$11)</f>
        <v>10.2141</v>
      </c>
      <c r="C362" s="8">
        <f>10.2249 * CHOOSE(CONTROL!$C$15, $D$11, 100%, $F$11)</f>
        <v>10.2249</v>
      </c>
      <c r="D362" s="8">
        <f>10.2603 * CHOOSE( CONTROL!$C$15, $D$11, 100%, $F$11)</f>
        <v>10.260300000000001</v>
      </c>
      <c r="E362" s="12">
        <f>10.2475 * CHOOSE( CONTROL!$C$15, $D$11, 100%, $F$11)</f>
        <v>10.2475</v>
      </c>
      <c r="F362" s="4">
        <f>10.943 * CHOOSE(CONTROL!$C$15, $D$11, 100%, $F$11)</f>
        <v>10.943</v>
      </c>
      <c r="G362" s="8">
        <f>9.9819 * CHOOSE( CONTROL!$C$15, $D$11, 100%, $F$11)</f>
        <v>9.9818999999999996</v>
      </c>
      <c r="H362" s="4">
        <f>10.933 * CHOOSE(CONTROL!$C$15, $D$11, 100%, $F$11)</f>
        <v>10.933</v>
      </c>
      <c r="I362" s="8">
        <f>9.9125 * CHOOSE(CONTROL!$C$15, $D$11, 100%, $F$11)</f>
        <v>9.9124999999999996</v>
      </c>
      <c r="J362" s="4">
        <f>9.7921 * CHOOSE(CONTROL!$C$15, $D$11, 100%, $F$11)</f>
        <v>9.7920999999999996</v>
      </c>
      <c r="K362" s="4"/>
      <c r="L362" s="9">
        <v>31.095300000000002</v>
      </c>
      <c r="M362" s="9">
        <v>12.063700000000001</v>
      </c>
      <c r="N362" s="9">
        <v>4.9444999999999997</v>
      </c>
      <c r="O362" s="9">
        <v>0.37409999999999999</v>
      </c>
      <c r="P362" s="9">
        <v>1.2183999999999999</v>
      </c>
      <c r="Q362" s="9">
        <v>20.5288</v>
      </c>
      <c r="R362" s="9"/>
      <c r="S362" s="11"/>
    </row>
    <row r="363" spans="1:19" ht="15.75">
      <c r="A363" s="13">
        <v>52565</v>
      </c>
      <c r="B363" s="8">
        <f>11.0149 * CHOOSE(CONTROL!$C$15, $D$11, 100%, $F$11)</f>
        <v>11.014900000000001</v>
      </c>
      <c r="C363" s="8">
        <f>11.0256 * CHOOSE(CONTROL!$C$15, $D$11, 100%, $F$11)</f>
        <v>11.025600000000001</v>
      </c>
      <c r="D363" s="8">
        <f>11.0017 * CHOOSE( CONTROL!$C$15, $D$11, 100%, $F$11)</f>
        <v>11.0017</v>
      </c>
      <c r="E363" s="12">
        <f>11.0093 * CHOOSE( CONTROL!$C$15, $D$11, 100%, $F$11)</f>
        <v>11.0093</v>
      </c>
      <c r="F363" s="4">
        <f>11.676 * CHOOSE(CONTROL!$C$15, $D$11, 100%, $F$11)</f>
        <v>11.676</v>
      </c>
      <c r="G363" s="8">
        <f>10.7647 * CHOOSE( CONTROL!$C$15, $D$11, 100%, $F$11)</f>
        <v>10.764699999999999</v>
      </c>
      <c r="H363" s="4">
        <f>11.6497 * CHOOSE(CONTROL!$C$15, $D$11, 100%, $F$11)</f>
        <v>11.649699999999999</v>
      </c>
      <c r="I363" s="8">
        <f>10.725 * CHOOSE(CONTROL!$C$15, $D$11, 100%, $F$11)</f>
        <v>10.725</v>
      </c>
      <c r="J363" s="4">
        <f>10.5609 * CHOOSE(CONTROL!$C$15, $D$11, 100%, $F$11)</f>
        <v>10.5609</v>
      </c>
      <c r="K363" s="4"/>
      <c r="L363" s="9">
        <v>28.360600000000002</v>
      </c>
      <c r="M363" s="9">
        <v>11.6745</v>
      </c>
      <c r="N363" s="9">
        <v>4.7850000000000001</v>
      </c>
      <c r="O363" s="9">
        <v>0.36199999999999999</v>
      </c>
      <c r="P363" s="9">
        <v>1.2509999999999999</v>
      </c>
      <c r="Q363" s="9">
        <v>19.866599999999998</v>
      </c>
      <c r="R363" s="9"/>
      <c r="S363" s="11"/>
    </row>
    <row r="364" spans="1:19" ht="15.75">
      <c r="A364" s="13">
        <v>52596</v>
      </c>
      <c r="B364" s="8">
        <f>10.9949 * CHOOSE(CONTROL!$C$15, $D$11, 100%, $F$11)</f>
        <v>10.994899999999999</v>
      </c>
      <c r="C364" s="8">
        <f>11.0056 * CHOOSE(CONTROL!$C$15, $D$11, 100%, $F$11)</f>
        <v>11.005599999999999</v>
      </c>
      <c r="D364" s="8">
        <f>10.9834 * CHOOSE( CONTROL!$C$15, $D$11, 100%, $F$11)</f>
        <v>10.9834</v>
      </c>
      <c r="E364" s="12">
        <f>10.9904 * CHOOSE( CONTROL!$C$15, $D$11, 100%, $F$11)</f>
        <v>10.990399999999999</v>
      </c>
      <c r="F364" s="4">
        <f>11.656 * CHOOSE(CONTROL!$C$15, $D$11, 100%, $F$11)</f>
        <v>11.656000000000001</v>
      </c>
      <c r="G364" s="8">
        <f>10.7464 * CHOOSE( CONTROL!$C$15, $D$11, 100%, $F$11)</f>
        <v>10.7464</v>
      </c>
      <c r="H364" s="4">
        <f>11.6302 * CHOOSE(CONTROL!$C$15, $D$11, 100%, $F$11)</f>
        <v>11.6302</v>
      </c>
      <c r="I364" s="8">
        <f>10.711 * CHOOSE(CONTROL!$C$15, $D$11, 100%, $F$11)</f>
        <v>10.711</v>
      </c>
      <c r="J364" s="4">
        <f>10.5417 * CHOOSE(CONTROL!$C$15, $D$11, 100%, $F$11)</f>
        <v>10.541700000000001</v>
      </c>
      <c r="K364" s="4"/>
      <c r="L364" s="9">
        <v>29.306000000000001</v>
      </c>
      <c r="M364" s="9">
        <v>12.063700000000001</v>
      </c>
      <c r="N364" s="9">
        <v>4.9444999999999997</v>
      </c>
      <c r="O364" s="9">
        <v>0.37409999999999999</v>
      </c>
      <c r="P364" s="9">
        <v>1.2927</v>
      </c>
      <c r="Q364" s="9">
        <v>20.5288</v>
      </c>
      <c r="R364" s="9"/>
      <c r="S364" s="11"/>
    </row>
    <row r="365" spans="1:19" ht="15.75">
      <c r="A365" s="13">
        <v>52627</v>
      </c>
      <c r="B365" s="8">
        <f>11.3187 * CHOOSE(CONTROL!$C$15, $D$11, 100%, $F$11)</f>
        <v>11.3187</v>
      </c>
      <c r="C365" s="8">
        <f>11.3295 * CHOOSE(CONTROL!$C$15, $D$11, 100%, $F$11)</f>
        <v>11.329499999999999</v>
      </c>
      <c r="D365" s="8">
        <f>11.3111 * CHOOSE( CONTROL!$C$15, $D$11, 100%, $F$11)</f>
        <v>11.3111</v>
      </c>
      <c r="E365" s="12">
        <f>11.3167 * CHOOSE( CONTROL!$C$15, $D$11, 100%, $F$11)</f>
        <v>11.316700000000001</v>
      </c>
      <c r="F365" s="4">
        <f>11.9798 * CHOOSE(CONTROL!$C$15, $D$11, 100%, $F$11)</f>
        <v>11.979799999999999</v>
      </c>
      <c r="G365" s="8">
        <f>11.0586 * CHOOSE( CONTROL!$C$15, $D$11, 100%, $F$11)</f>
        <v>11.0586</v>
      </c>
      <c r="H365" s="4">
        <f>11.9468 * CHOOSE(CONTROL!$C$15, $D$11, 100%, $F$11)</f>
        <v>11.9468</v>
      </c>
      <c r="I365" s="8">
        <f>10.9774 * CHOOSE(CONTROL!$C$15, $D$11, 100%, $F$11)</f>
        <v>10.977399999999999</v>
      </c>
      <c r="J365" s="4">
        <f>10.8527 * CHOOSE(CONTROL!$C$15, $D$11, 100%, $F$11)</f>
        <v>10.8527</v>
      </c>
      <c r="K365" s="4"/>
      <c r="L365" s="9">
        <v>29.306000000000001</v>
      </c>
      <c r="M365" s="9">
        <v>12.063700000000001</v>
      </c>
      <c r="N365" s="9">
        <v>4.9444999999999997</v>
      </c>
      <c r="O365" s="9">
        <v>0.37409999999999999</v>
      </c>
      <c r="P365" s="9">
        <v>1.2927</v>
      </c>
      <c r="Q365" s="9">
        <v>20.4619</v>
      </c>
      <c r="R365" s="9"/>
      <c r="S365" s="11"/>
    </row>
    <row r="366" spans="1:19" ht="15.75">
      <c r="A366" s="13">
        <v>52655</v>
      </c>
      <c r="B366" s="8">
        <f>10.588 * CHOOSE(CONTROL!$C$15, $D$11, 100%, $F$11)</f>
        <v>10.587999999999999</v>
      </c>
      <c r="C366" s="8">
        <f>10.5987 * CHOOSE(CONTROL!$C$15, $D$11, 100%, $F$11)</f>
        <v>10.598699999999999</v>
      </c>
      <c r="D366" s="8">
        <f>10.5802 * CHOOSE( CONTROL!$C$15, $D$11, 100%, $F$11)</f>
        <v>10.5802</v>
      </c>
      <c r="E366" s="12">
        <f>10.5858 * CHOOSE( CONTROL!$C$15, $D$11, 100%, $F$11)</f>
        <v>10.585800000000001</v>
      </c>
      <c r="F366" s="4">
        <f>11.2491 * CHOOSE(CONTROL!$C$15, $D$11, 100%, $F$11)</f>
        <v>11.2491</v>
      </c>
      <c r="G366" s="8">
        <f>10.3441 * CHOOSE( CONTROL!$C$15, $D$11, 100%, $F$11)</f>
        <v>10.344099999999999</v>
      </c>
      <c r="H366" s="4">
        <f>11.2323 * CHOOSE(CONTROL!$C$15, $D$11, 100%, $F$11)</f>
        <v>11.2323</v>
      </c>
      <c r="I366" s="8">
        <f>10.275 * CHOOSE(CONTROL!$C$15, $D$11, 100%, $F$11)</f>
        <v>10.275</v>
      </c>
      <c r="J366" s="4">
        <f>10.151 * CHOOSE(CONTROL!$C$15, $D$11, 100%, $F$11)</f>
        <v>10.151</v>
      </c>
      <c r="K366" s="4"/>
      <c r="L366" s="9">
        <v>27.415299999999998</v>
      </c>
      <c r="M366" s="9">
        <v>11.285299999999999</v>
      </c>
      <c r="N366" s="9">
        <v>4.6254999999999997</v>
      </c>
      <c r="O366" s="9">
        <v>0.34989999999999999</v>
      </c>
      <c r="P366" s="9">
        <v>1.2093</v>
      </c>
      <c r="Q366" s="9">
        <v>19.1417</v>
      </c>
      <c r="R366" s="9"/>
      <c r="S366" s="11"/>
    </row>
    <row r="367" spans="1:19" ht="15.75">
      <c r="A367" s="13">
        <v>52687</v>
      </c>
      <c r="B367" s="8">
        <f>10.3629 * CHOOSE(CONTROL!$C$15, $D$11, 100%, $F$11)</f>
        <v>10.3629</v>
      </c>
      <c r="C367" s="8">
        <f>10.3737 * CHOOSE(CONTROL!$C$15, $D$11, 100%, $F$11)</f>
        <v>10.373699999999999</v>
      </c>
      <c r="D367" s="8">
        <f>10.3546 * CHOOSE( CONTROL!$C$15, $D$11, 100%, $F$11)</f>
        <v>10.3546</v>
      </c>
      <c r="E367" s="12">
        <f>10.3604 * CHOOSE( CONTROL!$C$15, $D$11, 100%, $F$11)</f>
        <v>10.3604</v>
      </c>
      <c r="F367" s="4">
        <f>11.024 * CHOOSE(CONTROL!$C$15, $D$11, 100%, $F$11)</f>
        <v>11.023999999999999</v>
      </c>
      <c r="G367" s="8">
        <f>10.1236 * CHOOSE( CONTROL!$C$15, $D$11, 100%, $F$11)</f>
        <v>10.1236</v>
      </c>
      <c r="H367" s="4">
        <f>11.0123 * CHOOSE(CONTROL!$C$15, $D$11, 100%, $F$11)</f>
        <v>11.0123</v>
      </c>
      <c r="I367" s="8">
        <f>10.0573 * CHOOSE(CONTROL!$C$15, $D$11, 100%, $F$11)</f>
        <v>10.0573</v>
      </c>
      <c r="J367" s="4">
        <f>9.935 * CHOOSE(CONTROL!$C$15, $D$11, 100%, $F$11)</f>
        <v>9.9350000000000005</v>
      </c>
      <c r="K367" s="4"/>
      <c r="L367" s="9">
        <v>29.306000000000001</v>
      </c>
      <c r="M367" s="9">
        <v>12.063700000000001</v>
      </c>
      <c r="N367" s="9">
        <v>4.9444999999999997</v>
      </c>
      <c r="O367" s="9">
        <v>0.37409999999999999</v>
      </c>
      <c r="P367" s="9">
        <v>1.2927</v>
      </c>
      <c r="Q367" s="9">
        <v>20.4619</v>
      </c>
      <c r="R367" s="9"/>
      <c r="S367" s="11"/>
    </row>
    <row r="368" spans="1:19" ht="15.75">
      <c r="A368" s="13">
        <v>52717</v>
      </c>
      <c r="B368" s="8">
        <f>10.5201 * CHOOSE(CONTROL!$C$15, $D$11, 100%, $F$11)</f>
        <v>10.520099999999999</v>
      </c>
      <c r="C368" s="8">
        <f>10.5309 * CHOOSE(CONTROL!$C$15, $D$11, 100%, $F$11)</f>
        <v>10.530900000000001</v>
      </c>
      <c r="D368" s="8">
        <f>10.5657 * CHOOSE( CONTROL!$C$15, $D$11, 100%, $F$11)</f>
        <v>10.5657</v>
      </c>
      <c r="E368" s="12">
        <f>10.553 * CHOOSE( CONTROL!$C$15, $D$11, 100%, $F$11)</f>
        <v>10.553000000000001</v>
      </c>
      <c r="F368" s="4">
        <f>11.249 * CHOOSE(CONTROL!$C$15, $D$11, 100%, $F$11)</f>
        <v>11.249000000000001</v>
      </c>
      <c r="G368" s="8">
        <f>10.2802 * CHOOSE( CONTROL!$C$15, $D$11, 100%, $F$11)</f>
        <v>10.280200000000001</v>
      </c>
      <c r="H368" s="4">
        <f>11.2322 * CHOOSE(CONTROL!$C$15, $D$11, 100%, $F$11)</f>
        <v>11.232200000000001</v>
      </c>
      <c r="I368" s="8">
        <f>10.2036 * CHOOSE(CONTROL!$C$15, $D$11, 100%, $F$11)</f>
        <v>10.2036</v>
      </c>
      <c r="J368" s="4">
        <f>10.086 * CHOOSE(CONTROL!$C$15, $D$11, 100%, $F$11)</f>
        <v>10.086</v>
      </c>
      <c r="K368" s="4"/>
      <c r="L368" s="9">
        <v>30.092199999999998</v>
      </c>
      <c r="M368" s="9">
        <v>11.6745</v>
      </c>
      <c r="N368" s="9">
        <v>4.7850000000000001</v>
      </c>
      <c r="O368" s="9">
        <v>0.36199999999999999</v>
      </c>
      <c r="P368" s="9">
        <v>1.1791</v>
      </c>
      <c r="Q368" s="9">
        <v>19.8018</v>
      </c>
      <c r="R368" s="9"/>
      <c r="S368" s="11"/>
    </row>
    <row r="369" spans="1:19" ht="15.75">
      <c r="A369" s="13">
        <v>52748</v>
      </c>
      <c r="B369" s="8">
        <f>CHOOSE( CONTROL!$C$32, 10.8022, 10.7999) * CHOOSE(CONTROL!$C$15, $D$11, 100%, $F$11)</f>
        <v>10.802199999999999</v>
      </c>
      <c r="C369" s="8">
        <f>CHOOSE( CONTROL!$C$32, 10.8128, 10.8105) * CHOOSE(CONTROL!$C$15, $D$11, 100%, $F$11)</f>
        <v>10.812799999999999</v>
      </c>
      <c r="D369" s="8">
        <f>CHOOSE( CONTROL!$C$32, 10.8466, 10.8443) * CHOOSE( CONTROL!$C$15, $D$11, 100%, $F$11)</f>
        <v>10.8466</v>
      </c>
      <c r="E369" s="12">
        <f>CHOOSE( CONTROL!$C$32, 10.8327, 10.8304) * CHOOSE( CONTROL!$C$15, $D$11, 100%, $F$11)</f>
        <v>10.832700000000001</v>
      </c>
      <c r="F369" s="4">
        <f>CHOOSE( CONTROL!$C$32, 11.5312, 11.5289) * CHOOSE(CONTROL!$C$15, $D$11, 100%, $F$11)</f>
        <v>11.5312</v>
      </c>
      <c r="G369" s="8">
        <f>CHOOSE( CONTROL!$C$32, 10.5566, 10.5543) * CHOOSE( CONTROL!$C$15, $D$11, 100%, $F$11)</f>
        <v>10.5566</v>
      </c>
      <c r="H369" s="4">
        <f>CHOOSE( CONTROL!$C$32, 11.5082, 11.5059) * CHOOSE(CONTROL!$C$15, $D$11, 100%, $F$11)</f>
        <v>11.5082</v>
      </c>
      <c r="I369" s="8">
        <f>CHOOSE( CONTROL!$C$32, 10.4748, 10.4726) * CHOOSE(CONTROL!$C$15, $D$11, 100%, $F$11)</f>
        <v>10.4748</v>
      </c>
      <c r="J369" s="4">
        <f>CHOOSE( CONTROL!$C$32, 10.3569, 10.3547) * CHOOSE(CONTROL!$C$15, $D$11, 100%, $F$11)</f>
        <v>10.3569</v>
      </c>
      <c r="K369" s="4"/>
      <c r="L369" s="9">
        <v>30.7165</v>
      </c>
      <c r="M369" s="9">
        <v>12.063700000000001</v>
      </c>
      <c r="N369" s="9">
        <v>4.9444999999999997</v>
      </c>
      <c r="O369" s="9">
        <v>0.37409999999999999</v>
      </c>
      <c r="P369" s="9">
        <v>1.2183999999999999</v>
      </c>
      <c r="Q369" s="9">
        <v>20.4619</v>
      </c>
      <c r="R369" s="9"/>
      <c r="S369" s="11"/>
    </row>
    <row r="370" spans="1:19" ht="15.75">
      <c r="A370" s="13">
        <v>52778</v>
      </c>
      <c r="B370" s="8">
        <f>CHOOSE( CONTROL!$C$32, 10.6289, 10.6266) * CHOOSE(CONTROL!$C$15, $D$11, 100%, $F$11)</f>
        <v>10.6289</v>
      </c>
      <c r="C370" s="8">
        <f>CHOOSE( CONTROL!$C$32, 10.6394, 10.6371) * CHOOSE(CONTROL!$C$15, $D$11, 100%, $F$11)</f>
        <v>10.6394</v>
      </c>
      <c r="D370" s="8">
        <f>CHOOSE( CONTROL!$C$32, 10.6734, 10.6711) * CHOOSE( CONTROL!$C$15, $D$11, 100%, $F$11)</f>
        <v>10.673400000000001</v>
      </c>
      <c r="E370" s="12">
        <f>CHOOSE( CONTROL!$C$32, 10.6595, 10.6572) * CHOOSE( CONTROL!$C$15, $D$11, 100%, $F$11)</f>
        <v>10.6595</v>
      </c>
      <c r="F370" s="4">
        <f>CHOOSE( CONTROL!$C$32, 11.3578, 11.3555) * CHOOSE(CONTROL!$C$15, $D$11, 100%, $F$11)</f>
        <v>11.357799999999999</v>
      </c>
      <c r="G370" s="8">
        <f>CHOOSE( CONTROL!$C$32, 10.3873, 10.385) * CHOOSE( CONTROL!$C$15, $D$11, 100%, $F$11)</f>
        <v>10.3873</v>
      </c>
      <c r="H370" s="4">
        <f>CHOOSE( CONTROL!$C$32, 11.3386, 11.3364) * CHOOSE(CONTROL!$C$15, $D$11, 100%, $F$11)</f>
        <v>11.3386</v>
      </c>
      <c r="I370" s="8">
        <f>CHOOSE( CONTROL!$C$32, 10.309, 10.3068) * CHOOSE(CONTROL!$C$15, $D$11, 100%, $F$11)</f>
        <v>10.308999999999999</v>
      </c>
      <c r="J370" s="4">
        <f>CHOOSE( CONTROL!$C$32, 10.1904, 10.1882) * CHOOSE(CONTROL!$C$15, $D$11, 100%, $F$11)</f>
        <v>10.1904</v>
      </c>
      <c r="K370" s="4"/>
      <c r="L370" s="9">
        <v>29.7257</v>
      </c>
      <c r="M370" s="9">
        <v>11.6745</v>
      </c>
      <c r="N370" s="9">
        <v>4.7850000000000001</v>
      </c>
      <c r="O370" s="9">
        <v>0.36199999999999999</v>
      </c>
      <c r="P370" s="9">
        <v>1.1791</v>
      </c>
      <c r="Q370" s="9">
        <v>19.8018</v>
      </c>
      <c r="R370" s="9"/>
      <c r="S370" s="11"/>
    </row>
    <row r="371" spans="1:19" ht="15.75">
      <c r="A371" s="13">
        <v>52809</v>
      </c>
      <c r="B371" s="8">
        <f>CHOOSE( CONTROL!$C$32, 11.0855, 11.0832) * CHOOSE(CONTROL!$C$15, $D$11, 100%, $F$11)</f>
        <v>11.0855</v>
      </c>
      <c r="C371" s="8">
        <f>CHOOSE( CONTROL!$C$32, 11.096, 11.0937) * CHOOSE(CONTROL!$C$15, $D$11, 100%, $F$11)</f>
        <v>11.096</v>
      </c>
      <c r="D371" s="8">
        <f>CHOOSE( CONTROL!$C$32, 11.1302, 11.1279) * CHOOSE( CONTROL!$C$15, $D$11, 100%, $F$11)</f>
        <v>11.1302</v>
      </c>
      <c r="E371" s="12">
        <f>CHOOSE( CONTROL!$C$32, 11.1162, 11.1139) * CHOOSE( CONTROL!$C$15, $D$11, 100%, $F$11)</f>
        <v>11.116199999999999</v>
      </c>
      <c r="F371" s="4">
        <f>CHOOSE( CONTROL!$C$32, 11.8144, 11.8121) * CHOOSE(CONTROL!$C$15, $D$11, 100%, $F$11)</f>
        <v>11.814399999999999</v>
      </c>
      <c r="G371" s="8">
        <f>CHOOSE( CONTROL!$C$32, 10.8341, 10.8318) * CHOOSE( CONTROL!$C$15, $D$11, 100%, $F$11)</f>
        <v>10.834099999999999</v>
      </c>
      <c r="H371" s="4">
        <f>CHOOSE( CONTROL!$C$32, 11.7851, 11.7828) * CHOOSE(CONTROL!$C$15, $D$11, 100%, $F$11)</f>
        <v>11.7851</v>
      </c>
      <c r="I371" s="8">
        <f>CHOOSE( CONTROL!$C$32, 10.7486, 10.7464) * CHOOSE(CONTROL!$C$15, $D$11, 100%, $F$11)</f>
        <v>10.7486</v>
      </c>
      <c r="J371" s="4">
        <f>CHOOSE( CONTROL!$C$32, 10.6288, 10.6266) * CHOOSE(CONTROL!$C$15, $D$11, 100%, $F$11)</f>
        <v>10.6288</v>
      </c>
      <c r="K371" s="4"/>
      <c r="L371" s="9">
        <v>30.7165</v>
      </c>
      <c r="M371" s="9">
        <v>12.063700000000001</v>
      </c>
      <c r="N371" s="9">
        <v>4.9444999999999997</v>
      </c>
      <c r="O371" s="9">
        <v>0.37409999999999999</v>
      </c>
      <c r="P371" s="9">
        <v>1.2183999999999999</v>
      </c>
      <c r="Q371" s="9">
        <v>20.4619</v>
      </c>
      <c r="R371" s="9"/>
      <c r="S371" s="11"/>
    </row>
    <row r="372" spans="1:19" ht="15.75">
      <c r="A372" s="13">
        <v>52840</v>
      </c>
      <c r="B372" s="8">
        <f>CHOOSE( CONTROL!$C$32, 10.2311, 10.2288) * CHOOSE(CONTROL!$C$15, $D$11, 100%, $F$11)</f>
        <v>10.2311</v>
      </c>
      <c r="C372" s="8">
        <f>CHOOSE( CONTROL!$C$32, 10.2417, 10.2394) * CHOOSE(CONTROL!$C$15, $D$11, 100%, $F$11)</f>
        <v>10.2417</v>
      </c>
      <c r="D372" s="8">
        <f>CHOOSE( CONTROL!$C$32, 10.2759, 10.2736) * CHOOSE( CONTROL!$C$15, $D$11, 100%, $F$11)</f>
        <v>10.2759</v>
      </c>
      <c r="E372" s="12">
        <f>CHOOSE( CONTROL!$C$32, 10.2619, 10.2596) * CHOOSE( CONTROL!$C$15, $D$11, 100%, $F$11)</f>
        <v>10.261900000000001</v>
      </c>
      <c r="F372" s="4">
        <f>CHOOSE( CONTROL!$C$32, 10.96, 10.9577) * CHOOSE(CONTROL!$C$15, $D$11, 100%, $F$11)</f>
        <v>10.96</v>
      </c>
      <c r="G372" s="8">
        <f>CHOOSE( CONTROL!$C$32, 9.9988, 9.9966) * CHOOSE( CONTROL!$C$15, $D$11, 100%, $F$11)</f>
        <v>9.9987999999999992</v>
      </c>
      <c r="H372" s="4">
        <f>CHOOSE( CONTROL!$C$32, 10.9497, 10.9475) * CHOOSE(CONTROL!$C$15, $D$11, 100%, $F$11)</f>
        <v>10.9497</v>
      </c>
      <c r="I372" s="8">
        <f>CHOOSE( CONTROL!$C$32, 9.9282, 9.9259) * CHOOSE(CONTROL!$C$15, $D$11, 100%, $F$11)</f>
        <v>9.9282000000000004</v>
      </c>
      <c r="J372" s="4">
        <f>CHOOSE( CONTROL!$C$32, 9.8085, 9.8063) * CHOOSE(CONTROL!$C$15, $D$11, 100%, $F$11)</f>
        <v>9.8085000000000004</v>
      </c>
      <c r="K372" s="4"/>
      <c r="L372" s="9">
        <v>30.7165</v>
      </c>
      <c r="M372" s="9">
        <v>12.063700000000001</v>
      </c>
      <c r="N372" s="9">
        <v>4.9444999999999997</v>
      </c>
      <c r="O372" s="9">
        <v>0.37409999999999999</v>
      </c>
      <c r="P372" s="9">
        <v>1.2183999999999999</v>
      </c>
      <c r="Q372" s="9">
        <v>20.4619</v>
      </c>
      <c r="R372" s="9"/>
      <c r="S372" s="11"/>
    </row>
    <row r="373" spans="1:19" ht="15.75">
      <c r="A373" s="13">
        <v>52870</v>
      </c>
      <c r="B373" s="8">
        <f>CHOOSE( CONTROL!$C$32, 10.0171, 10.0148) * CHOOSE(CONTROL!$C$15, $D$11, 100%, $F$11)</f>
        <v>10.017099999999999</v>
      </c>
      <c r="C373" s="8">
        <f>CHOOSE( CONTROL!$C$32, 10.0277, 10.0254) * CHOOSE(CONTROL!$C$15, $D$11, 100%, $F$11)</f>
        <v>10.027699999999999</v>
      </c>
      <c r="D373" s="8">
        <f>CHOOSE( CONTROL!$C$32, 10.0619, 10.0596) * CHOOSE( CONTROL!$C$15, $D$11, 100%, $F$11)</f>
        <v>10.0619</v>
      </c>
      <c r="E373" s="12">
        <f>CHOOSE( CONTROL!$C$32, 10.0479, 10.0456) * CHOOSE( CONTROL!$C$15, $D$11, 100%, $F$11)</f>
        <v>10.0479</v>
      </c>
      <c r="F373" s="4">
        <f>CHOOSE( CONTROL!$C$32, 10.7461, 10.7438) * CHOOSE(CONTROL!$C$15, $D$11, 100%, $F$11)</f>
        <v>10.7461</v>
      </c>
      <c r="G373" s="8">
        <f>CHOOSE( CONTROL!$C$32, 9.7896, 9.7873) * CHOOSE( CONTROL!$C$15, $D$11, 100%, $F$11)</f>
        <v>9.7896000000000001</v>
      </c>
      <c r="H373" s="4">
        <f>CHOOSE( CONTROL!$C$32, 10.7406, 10.7383) * CHOOSE(CONTROL!$C$15, $D$11, 100%, $F$11)</f>
        <v>10.740600000000001</v>
      </c>
      <c r="I373" s="8">
        <f>CHOOSE( CONTROL!$C$32, 9.7225, 9.7203) * CHOOSE(CONTROL!$C$15, $D$11, 100%, $F$11)</f>
        <v>9.7225000000000001</v>
      </c>
      <c r="J373" s="4">
        <f>CHOOSE( CONTROL!$C$32, 9.6031, 9.6009) * CHOOSE(CONTROL!$C$15, $D$11, 100%, $F$11)</f>
        <v>9.6030999999999995</v>
      </c>
      <c r="K373" s="4"/>
      <c r="L373" s="9">
        <v>29.7257</v>
      </c>
      <c r="M373" s="9">
        <v>11.6745</v>
      </c>
      <c r="N373" s="9">
        <v>4.7850000000000001</v>
      </c>
      <c r="O373" s="9">
        <v>0.36199999999999999</v>
      </c>
      <c r="P373" s="9">
        <v>1.1791</v>
      </c>
      <c r="Q373" s="9">
        <v>19.8018</v>
      </c>
      <c r="R373" s="9"/>
      <c r="S373" s="11"/>
    </row>
    <row r="374" spans="1:19" ht="15.75">
      <c r="A374" s="13">
        <v>52901</v>
      </c>
      <c r="B374" s="8">
        <f>10.4592 * CHOOSE(CONTROL!$C$15, $D$11, 100%, $F$11)</f>
        <v>10.459199999999999</v>
      </c>
      <c r="C374" s="8">
        <f>10.4699 * CHOOSE(CONTROL!$C$15, $D$11, 100%, $F$11)</f>
        <v>10.469900000000001</v>
      </c>
      <c r="D374" s="8">
        <f>10.5053 * CHOOSE( CONTROL!$C$15, $D$11, 100%, $F$11)</f>
        <v>10.5053</v>
      </c>
      <c r="E374" s="12">
        <f>10.4925 * CHOOSE( CONTROL!$C$15, $D$11, 100%, $F$11)</f>
        <v>10.4925</v>
      </c>
      <c r="F374" s="4">
        <f>11.188 * CHOOSE(CONTROL!$C$15, $D$11, 100%, $F$11)</f>
        <v>11.188000000000001</v>
      </c>
      <c r="G374" s="8">
        <f>10.2215 * CHOOSE( CONTROL!$C$15, $D$11, 100%, $F$11)</f>
        <v>10.221500000000001</v>
      </c>
      <c r="H374" s="4">
        <f>11.1726 * CHOOSE(CONTROL!$C$15, $D$11, 100%, $F$11)</f>
        <v>11.172599999999999</v>
      </c>
      <c r="I374" s="8">
        <f>10.1479 * CHOOSE(CONTROL!$C$15, $D$11, 100%, $F$11)</f>
        <v>10.1479</v>
      </c>
      <c r="J374" s="4">
        <f>10.0274 * CHOOSE(CONTROL!$C$15, $D$11, 100%, $F$11)</f>
        <v>10.0274</v>
      </c>
      <c r="K374" s="4"/>
      <c r="L374" s="9">
        <v>31.095300000000002</v>
      </c>
      <c r="M374" s="9">
        <v>12.063700000000001</v>
      </c>
      <c r="N374" s="9">
        <v>4.9444999999999997</v>
      </c>
      <c r="O374" s="9">
        <v>0.37409999999999999</v>
      </c>
      <c r="P374" s="9">
        <v>1.2183999999999999</v>
      </c>
      <c r="Q374" s="9">
        <v>20.4619</v>
      </c>
      <c r="R374" s="9"/>
      <c r="S374" s="11"/>
    </row>
    <row r="375" spans="1:19" ht="15.75">
      <c r="A375" s="13">
        <v>52931</v>
      </c>
      <c r="B375" s="8">
        <f>11.2792 * CHOOSE(CONTROL!$C$15, $D$11, 100%, $F$11)</f>
        <v>11.279199999999999</v>
      </c>
      <c r="C375" s="8">
        <f>11.2899 * CHOOSE(CONTROL!$C$15, $D$11, 100%, $F$11)</f>
        <v>11.289899999999999</v>
      </c>
      <c r="D375" s="8">
        <f>11.266 * CHOOSE( CONTROL!$C$15, $D$11, 100%, $F$11)</f>
        <v>11.266</v>
      </c>
      <c r="E375" s="12">
        <f>11.2736 * CHOOSE( CONTROL!$C$15, $D$11, 100%, $F$11)</f>
        <v>11.2736</v>
      </c>
      <c r="F375" s="4">
        <f>11.9403 * CHOOSE(CONTROL!$C$15, $D$11, 100%, $F$11)</f>
        <v>11.940300000000001</v>
      </c>
      <c r="G375" s="8">
        <f>11.0231 * CHOOSE( CONTROL!$C$15, $D$11, 100%, $F$11)</f>
        <v>11.023099999999999</v>
      </c>
      <c r="H375" s="4">
        <f>11.9081 * CHOOSE(CONTROL!$C$15, $D$11, 100%, $F$11)</f>
        <v>11.908099999999999</v>
      </c>
      <c r="I375" s="8">
        <f>10.9789 * CHOOSE(CONTROL!$C$15, $D$11, 100%, $F$11)</f>
        <v>10.978899999999999</v>
      </c>
      <c r="J375" s="4">
        <f>10.8147 * CHOOSE(CONTROL!$C$15, $D$11, 100%, $F$11)</f>
        <v>10.8147</v>
      </c>
      <c r="K375" s="4"/>
      <c r="L375" s="9">
        <v>28.360600000000002</v>
      </c>
      <c r="M375" s="9">
        <v>11.6745</v>
      </c>
      <c r="N375" s="9">
        <v>4.7850000000000001</v>
      </c>
      <c r="O375" s="9">
        <v>0.36199999999999999</v>
      </c>
      <c r="P375" s="9">
        <v>1.2509999999999999</v>
      </c>
      <c r="Q375" s="9">
        <v>19.8018</v>
      </c>
      <c r="R375" s="9"/>
      <c r="S375" s="11"/>
    </row>
    <row r="376" spans="1:19" ht="15.75">
      <c r="A376" s="13">
        <v>52962</v>
      </c>
      <c r="B376" s="8">
        <f>11.2587 * CHOOSE(CONTROL!$C$15, $D$11, 100%, $F$11)</f>
        <v>11.258699999999999</v>
      </c>
      <c r="C376" s="8">
        <f>11.2694 * CHOOSE(CONTROL!$C$15, $D$11, 100%, $F$11)</f>
        <v>11.269399999999999</v>
      </c>
      <c r="D376" s="8">
        <f>11.2472 * CHOOSE( CONTROL!$C$15, $D$11, 100%, $F$11)</f>
        <v>11.247199999999999</v>
      </c>
      <c r="E376" s="12">
        <f>11.2542 * CHOOSE( CONTROL!$C$15, $D$11, 100%, $F$11)</f>
        <v>11.254200000000001</v>
      </c>
      <c r="F376" s="4">
        <f>11.9198 * CHOOSE(CONTROL!$C$15, $D$11, 100%, $F$11)</f>
        <v>11.9198</v>
      </c>
      <c r="G376" s="8">
        <f>11.0043 * CHOOSE( CONTROL!$C$15, $D$11, 100%, $F$11)</f>
        <v>11.004300000000001</v>
      </c>
      <c r="H376" s="4">
        <f>11.8881 * CHOOSE(CONTROL!$C$15, $D$11, 100%, $F$11)</f>
        <v>11.8881</v>
      </c>
      <c r="I376" s="8">
        <f>10.9644 * CHOOSE(CONTROL!$C$15, $D$11, 100%, $F$11)</f>
        <v>10.964399999999999</v>
      </c>
      <c r="J376" s="4">
        <f>10.795 * CHOOSE(CONTROL!$C$15, $D$11, 100%, $F$11)</f>
        <v>10.795</v>
      </c>
      <c r="K376" s="4"/>
      <c r="L376" s="9">
        <v>29.306000000000001</v>
      </c>
      <c r="M376" s="9">
        <v>12.063700000000001</v>
      </c>
      <c r="N376" s="9">
        <v>4.9444999999999997</v>
      </c>
      <c r="O376" s="9">
        <v>0.37409999999999999</v>
      </c>
      <c r="P376" s="9">
        <v>1.2927</v>
      </c>
      <c r="Q376" s="9">
        <v>20.4619</v>
      </c>
      <c r="R376" s="9"/>
      <c r="S376" s="11"/>
    </row>
    <row r="377" spans="1:19" ht="15.75">
      <c r="A377" s="13">
        <v>52993</v>
      </c>
      <c r="B377" s="8">
        <f>11.5903 * CHOOSE(CONTROL!$C$15, $D$11, 100%, $F$11)</f>
        <v>11.590299999999999</v>
      </c>
      <c r="C377" s="8">
        <f>11.6011 * CHOOSE(CONTROL!$C$15, $D$11, 100%, $F$11)</f>
        <v>11.601100000000001</v>
      </c>
      <c r="D377" s="8">
        <f>11.5827 * CHOOSE( CONTROL!$C$15, $D$11, 100%, $F$11)</f>
        <v>11.582700000000001</v>
      </c>
      <c r="E377" s="12">
        <f>11.5883 * CHOOSE( CONTROL!$C$15, $D$11, 100%, $F$11)</f>
        <v>11.5883</v>
      </c>
      <c r="F377" s="4">
        <f>12.2514 * CHOOSE(CONTROL!$C$15, $D$11, 100%, $F$11)</f>
        <v>12.2514</v>
      </c>
      <c r="G377" s="8">
        <f>11.3242 * CHOOSE( CONTROL!$C$15, $D$11, 100%, $F$11)</f>
        <v>11.324199999999999</v>
      </c>
      <c r="H377" s="4">
        <f>12.2123 * CHOOSE(CONTROL!$C$15, $D$11, 100%, $F$11)</f>
        <v>12.212300000000001</v>
      </c>
      <c r="I377" s="8">
        <f>11.2383 * CHOOSE(CONTROL!$C$15, $D$11, 100%, $F$11)</f>
        <v>11.238300000000001</v>
      </c>
      <c r="J377" s="4">
        <f>11.1134 * CHOOSE(CONTROL!$C$15, $D$11, 100%, $F$11)</f>
        <v>11.1134</v>
      </c>
      <c r="K377" s="4"/>
      <c r="L377" s="9">
        <v>29.306000000000001</v>
      </c>
      <c r="M377" s="9">
        <v>12.063700000000001</v>
      </c>
      <c r="N377" s="9">
        <v>4.9444999999999997</v>
      </c>
      <c r="O377" s="9">
        <v>0.37409999999999999</v>
      </c>
      <c r="P377" s="9">
        <v>1.2927</v>
      </c>
      <c r="Q377" s="9">
        <v>20.396799999999999</v>
      </c>
      <c r="R377" s="9"/>
      <c r="S377" s="11"/>
    </row>
    <row r="378" spans="1:19" ht="15.75">
      <c r="A378" s="13">
        <v>53021</v>
      </c>
      <c r="B378" s="8">
        <f>10.842 * CHOOSE(CONTROL!$C$15, $D$11, 100%, $F$11)</f>
        <v>10.842000000000001</v>
      </c>
      <c r="C378" s="8">
        <f>10.8528 * CHOOSE(CONTROL!$C$15, $D$11, 100%, $F$11)</f>
        <v>10.8528</v>
      </c>
      <c r="D378" s="8">
        <f>10.8342 * CHOOSE( CONTROL!$C$15, $D$11, 100%, $F$11)</f>
        <v>10.834199999999999</v>
      </c>
      <c r="E378" s="12">
        <f>10.8399 * CHOOSE( CONTROL!$C$15, $D$11, 100%, $F$11)</f>
        <v>10.8399</v>
      </c>
      <c r="F378" s="4">
        <f>11.5031 * CHOOSE(CONTROL!$C$15, $D$11, 100%, $F$11)</f>
        <v>11.5031</v>
      </c>
      <c r="G378" s="8">
        <f>10.5924 * CHOOSE( CONTROL!$C$15, $D$11, 100%, $F$11)</f>
        <v>10.5924</v>
      </c>
      <c r="H378" s="4">
        <f>11.4807 * CHOOSE(CONTROL!$C$15, $D$11, 100%, $F$11)</f>
        <v>11.480700000000001</v>
      </c>
      <c r="I378" s="8">
        <f>10.519 * CHOOSE(CONTROL!$C$15, $D$11, 100%, $F$11)</f>
        <v>10.519</v>
      </c>
      <c r="J378" s="4">
        <f>10.395 * CHOOSE(CONTROL!$C$15, $D$11, 100%, $F$11)</f>
        <v>10.395</v>
      </c>
      <c r="K378" s="4"/>
      <c r="L378" s="9">
        <v>26.469899999999999</v>
      </c>
      <c r="M378" s="9">
        <v>10.8962</v>
      </c>
      <c r="N378" s="9">
        <v>4.4660000000000002</v>
      </c>
      <c r="O378" s="9">
        <v>0.33789999999999998</v>
      </c>
      <c r="P378" s="9">
        <v>1.1676</v>
      </c>
      <c r="Q378" s="9">
        <v>18.422899999999998</v>
      </c>
      <c r="R378" s="9"/>
      <c r="S378" s="11"/>
    </row>
    <row r="379" spans="1:19" ht="15.75">
      <c r="A379" s="13">
        <v>53052</v>
      </c>
      <c r="B379" s="8">
        <f>10.6115 * CHOOSE(CONTROL!$C$15, $D$11, 100%, $F$11)</f>
        <v>10.611499999999999</v>
      </c>
      <c r="C379" s="8">
        <f>10.6223 * CHOOSE(CONTROL!$C$15, $D$11, 100%, $F$11)</f>
        <v>10.622299999999999</v>
      </c>
      <c r="D379" s="8">
        <f>10.6032 * CHOOSE( CONTROL!$C$15, $D$11, 100%, $F$11)</f>
        <v>10.603199999999999</v>
      </c>
      <c r="E379" s="12">
        <f>10.609 * CHOOSE( CONTROL!$C$15, $D$11, 100%, $F$11)</f>
        <v>10.609</v>
      </c>
      <c r="F379" s="4">
        <f>11.2726 * CHOOSE(CONTROL!$C$15, $D$11, 100%, $F$11)</f>
        <v>11.272600000000001</v>
      </c>
      <c r="G379" s="8">
        <f>10.3667 * CHOOSE( CONTROL!$C$15, $D$11, 100%, $F$11)</f>
        <v>10.3667</v>
      </c>
      <c r="H379" s="4">
        <f>11.2554 * CHOOSE(CONTROL!$C$15, $D$11, 100%, $F$11)</f>
        <v>11.2554</v>
      </c>
      <c r="I379" s="8">
        <f>10.2961 * CHOOSE(CONTROL!$C$15, $D$11, 100%, $F$11)</f>
        <v>10.296099999999999</v>
      </c>
      <c r="J379" s="4">
        <f>10.1737 * CHOOSE(CONTROL!$C$15, $D$11, 100%, $F$11)</f>
        <v>10.1737</v>
      </c>
      <c r="K379" s="4"/>
      <c r="L379" s="9">
        <v>29.306000000000001</v>
      </c>
      <c r="M379" s="9">
        <v>12.063700000000001</v>
      </c>
      <c r="N379" s="9">
        <v>4.9444999999999997</v>
      </c>
      <c r="O379" s="9">
        <v>0.37409999999999999</v>
      </c>
      <c r="P379" s="9">
        <v>1.2927</v>
      </c>
      <c r="Q379" s="9">
        <v>20.396799999999999</v>
      </c>
      <c r="R379" s="9"/>
      <c r="S379" s="11"/>
    </row>
    <row r="380" spans="1:19" ht="15.75">
      <c r="A380" s="13">
        <v>53082</v>
      </c>
      <c r="B380" s="8">
        <f>10.7725 * CHOOSE(CONTROL!$C$15, $D$11, 100%, $F$11)</f>
        <v>10.772500000000001</v>
      </c>
      <c r="C380" s="8">
        <f>10.7833 * CHOOSE(CONTROL!$C$15, $D$11, 100%, $F$11)</f>
        <v>10.783300000000001</v>
      </c>
      <c r="D380" s="8">
        <f>10.8181 * CHOOSE( CONTROL!$C$15, $D$11, 100%, $F$11)</f>
        <v>10.818099999999999</v>
      </c>
      <c r="E380" s="12">
        <f>10.8054 * CHOOSE( CONTROL!$C$15, $D$11, 100%, $F$11)</f>
        <v>10.805400000000001</v>
      </c>
      <c r="F380" s="4">
        <f>11.5014 * CHOOSE(CONTROL!$C$15, $D$11, 100%, $F$11)</f>
        <v>11.5014</v>
      </c>
      <c r="G380" s="8">
        <f>10.5269 * CHOOSE( CONTROL!$C$15, $D$11, 100%, $F$11)</f>
        <v>10.526899999999999</v>
      </c>
      <c r="H380" s="4">
        <f>11.479 * CHOOSE(CONTROL!$C$15, $D$11, 100%, $F$11)</f>
        <v>11.478999999999999</v>
      </c>
      <c r="I380" s="8">
        <f>10.4461 * CHOOSE(CONTROL!$C$15, $D$11, 100%, $F$11)</f>
        <v>10.446099999999999</v>
      </c>
      <c r="J380" s="4">
        <f>10.3283 * CHOOSE(CONTROL!$C$15, $D$11, 100%, $F$11)</f>
        <v>10.3283</v>
      </c>
      <c r="K380" s="4"/>
      <c r="L380" s="9">
        <v>30.092199999999998</v>
      </c>
      <c r="M380" s="9">
        <v>11.6745</v>
      </c>
      <c r="N380" s="9">
        <v>4.7850000000000001</v>
      </c>
      <c r="O380" s="9">
        <v>0.36199999999999999</v>
      </c>
      <c r="P380" s="9">
        <v>1.1791</v>
      </c>
      <c r="Q380" s="9">
        <v>19.738800000000001</v>
      </c>
      <c r="R380" s="9"/>
      <c r="S380" s="11"/>
    </row>
    <row r="381" spans="1:19" ht="15.75">
      <c r="A381" s="13">
        <v>53113</v>
      </c>
      <c r="B381" s="8">
        <f>CHOOSE( CONTROL!$C$32, 11.0614, 11.0591) * CHOOSE(CONTROL!$C$15, $D$11, 100%, $F$11)</f>
        <v>11.061400000000001</v>
      </c>
      <c r="C381" s="8">
        <f>CHOOSE( CONTROL!$C$32, 11.072, 11.0697) * CHOOSE(CONTROL!$C$15, $D$11, 100%, $F$11)</f>
        <v>11.071999999999999</v>
      </c>
      <c r="D381" s="8">
        <f>CHOOSE( CONTROL!$C$32, 11.1058, 11.1035) * CHOOSE( CONTROL!$C$15, $D$11, 100%, $F$11)</f>
        <v>11.1058</v>
      </c>
      <c r="E381" s="12">
        <f>CHOOSE( CONTROL!$C$32, 11.0919, 11.0896) * CHOOSE( CONTROL!$C$15, $D$11, 100%, $F$11)</f>
        <v>11.091900000000001</v>
      </c>
      <c r="F381" s="4">
        <f>CHOOSE( CONTROL!$C$32, 11.7903, 11.788) * CHOOSE(CONTROL!$C$15, $D$11, 100%, $F$11)</f>
        <v>11.7903</v>
      </c>
      <c r="G381" s="8">
        <f>CHOOSE( CONTROL!$C$32, 10.8099, 10.8077) * CHOOSE( CONTROL!$C$15, $D$11, 100%, $F$11)</f>
        <v>10.809900000000001</v>
      </c>
      <c r="H381" s="4">
        <f>CHOOSE( CONTROL!$C$32, 11.7615, 11.7593) * CHOOSE(CONTROL!$C$15, $D$11, 100%, $F$11)</f>
        <v>11.7615</v>
      </c>
      <c r="I381" s="8">
        <f>CHOOSE( CONTROL!$C$32, 10.7237, 10.7215) * CHOOSE(CONTROL!$C$15, $D$11, 100%, $F$11)</f>
        <v>10.723699999999999</v>
      </c>
      <c r="J381" s="4">
        <f>CHOOSE( CONTROL!$C$32, 10.6057, 10.6035) * CHOOSE(CONTROL!$C$15, $D$11, 100%, $F$11)</f>
        <v>10.605700000000001</v>
      </c>
      <c r="K381" s="4"/>
      <c r="L381" s="9">
        <v>30.7165</v>
      </c>
      <c r="M381" s="9">
        <v>12.063700000000001</v>
      </c>
      <c r="N381" s="9">
        <v>4.9444999999999997</v>
      </c>
      <c r="O381" s="9">
        <v>0.37409999999999999</v>
      </c>
      <c r="P381" s="9">
        <v>1.2183999999999999</v>
      </c>
      <c r="Q381" s="9">
        <v>20.396799999999999</v>
      </c>
      <c r="R381" s="9"/>
      <c r="S381" s="11"/>
    </row>
    <row r="382" spans="1:19" ht="15.75">
      <c r="A382" s="13">
        <v>53143</v>
      </c>
      <c r="B382" s="8">
        <f>CHOOSE( CONTROL!$C$32, 10.8838, 10.8815) * CHOOSE(CONTROL!$C$15, $D$11, 100%, $F$11)</f>
        <v>10.883800000000001</v>
      </c>
      <c r="C382" s="8">
        <f>CHOOSE( CONTROL!$C$32, 10.8944, 10.8921) * CHOOSE(CONTROL!$C$15, $D$11, 100%, $F$11)</f>
        <v>10.894399999999999</v>
      </c>
      <c r="D382" s="8">
        <f>CHOOSE( CONTROL!$C$32, 10.9284, 10.9261) * CHOOSE( CONTROL!$C$15, $D$11, 100%, $F$11)</f>
        <v>10.9284</v>
      </c>
      <c r="E382" s="12">
        <f>CHOOSE( CONTROL!$C$32, 10.9145, 10.9122) * CHOOSE( CONTROL!$C$15, $D$11, 100%, $F$11)</f>
        <v>10.9145</v>
      </c>
      <c r="F382" s="4">
        <f>CHOOSE( CONTROL!$C$32, 11.6128, 11.6105) * CHOOSE(CONTROL!$C$15, $D$11, 100%, $F$11)</f>
        <v>11.6128</v>
      </c>
      <c r="G382" s="8">
        <f>CHOOSE( CONTROL!$C$32, 10.6366, 10.6343) * CHOOSE( CONTROL!$C$15, $D$11, 100%, $F$11)</f>
        <v>10.6366</v>
      </c>
      <c r="H382" s="4">
        <f>CHOOSE( CONTROL!$C$32, 11.5879, 11.5857) * CHOOSE(CONTROL!$C$15, $D$11, 100%, $F$11)</f>
        <v>11.587899999999999</v>
      </c>
      <c r="I382" s="8">
        <f>CHOOSE( CONTROL!$C$32, 10.5539, 10.5517) * CHOOSE(CONTROL!$C$15, $D$11, 100%, $F$11)</f>
        <v>10.553900000000001</v>
      </c>
      <c r="J382" s="4">
        <f>CHOOSE( CONTROL!$C$32, 10.4352, 10.433) * CHOOSE(CONTROL!$C$15, $D$11, 100%, $F$11)</f>
        <v>10.4352</v>
      </c>
      <c r="K382" s="4"/>
      <c r="L382" s="9">
        <v>29.7257</v>
      </c>
      <c r="M382" s="9">
        <v>11.6745</v>
      </c>
      <c r="N382" s="9">
        <v>4.7850000000000001</v>
      </c>
      <c r="O382" s="9">
        <v>0.36199999999999999</v>
      </c>
      <c r="P382" s="9">
        <v>1.1791</v>
      </c>
      <c r="Q382" s="9">
        <v>19.738800000000001</v>
      </c>
      <c r="R382" s="9"/>
      <c r="S382" s="11"/>
    </row>
    <row r="383" spans="1:19" ht="15.75">
      <c r="A383" s="13">
        <v>53174</v>
      </c>
      <c r="B383" s="8">
        <f>CHOOSE( CONTROL!$C$32, 11.3514, 11.3491) * CHOOSE(CONTROL!$C$15, $D$11, 100%, $F$11)</f>
        <v>11.3514</v>
      </c>
      <c r="C383" s="8">
        <f>CHOOSE( CONTROL!$C$32, 11.362, 11.3597) * CHOOSE(CONTROL!$C$15, $D$11, 100%, $F$11)</f>
        <v>11.362</v>
      </c>
      <c r="D383" s="8">
        <f>CHOOSE( CONTROL!$C$32, 11.3962, 11.3939) * CHOOSE( CONTROL!$C$15, $D$11, 100%, $F$11)</f>
        <v>11.3962</v>
      </c>
      <c r="E383" s="12">
        <f>CHOOSE( CONTROL!$C$32, 11.3822, 11.3799) * CHOOSE( CONTROL!$C$15, $D$11, 100%, $F$11)</f>
        <v>11.382199999999999</v>
      </c>
      <c r="F383" s="4">
        <f>CHOOSE( CONTROL!$C$32, 12.0804, 12.0781) * CHOOSE(CONTROL!$C$15, $D$11, 100%, $F$11)</f>
        <v>12.080399999999999</v>
      </c>
      <c r="G383" s="8">
        <f>CHOOSE( CONTROL!$C$32, 11.0941, 11.0918) * CHOOSE( CONTROL!$C$15, $D$11, 100%, $F$11)</f>
        <v>11.094099999999999</v>
      </c>
      <c r="H383" s="4">
        <f>CHOOSE( CONTROL!$C$32, 12.0451, 12.0428) * CHOOSE(CONTROL!$C$15, $D$11, 100%, $F$11)</f>
        <v>12.0451</v>
      </c>
      <c r="I383" s="8">
        <f>CHOOSE( CONTROL!$C$32, 11.004, 11.0018) * CHOOSE(CONTROL!$C$15, $D$11, 100%, $F$11)</f>
        <v>11.004</v>
      </c>
      <c r="J383" s="4">
        <f>CHOOSE( CONTROL!$C$32, 10.8842, 10.882) * CHOOSE(CONTROL!$C$15, $D$11, 100%, $F$11)</f>
        <v>10.8842</v>
      </c>
      <c r="K383" s="4"/>
      <c r="L383" s="9">
        <v>30.7165</v>
      </c>
      <c r="M383" s="9">
        <v>12.063700000000001</v>
      </c>
      <c r="N383" s="9">
        <v>4.9444999999999997</v>
      </c>
      <c r="O383" s="9">
        <v>0.37409999999999999</v>
      </c>
      <c r="P383" s="9">
        <v>1.2183999999999999</v>
      </c>
      <c r="Q383" s="9">
        <v>20.396799999999999</v>
      </c>
      <c r="R383" s="9"/>
      <c r="S383" s="11"/>
    </row>
    <row r="384" spans="1:19" ht="15.75">
      <c r="A384" s="13">
        <v>53205</v>
      </c>
      <c r="B384" s="8">
        <f>CHOOSE( CONTROL!$C$32, 10.4765, 10.4742) * CHOOSE(CONTROL!$C$15, $D$11, 100%, $F$11)</f>
        <v>10.4765</v>
      </c>
      <c r="C384" s="8">
        <f>CHOOSE( CONTROL!$C$32, 10.4871, 10.4848) * CHOOSE(CONTROL!$C$15, $D$11, 100%, $F$11)</f>
        <v>10.4871</v>
      </c>
      <c r="D384" s="8">
        <f>CHOOSE( CONTROL!$C$32, 10.5213, 10.519) * CHOOSE( CONTROL!$C$15, $D$11, 100%, $F$11)</f>
        <v>10.5213</v>
      </c>
      <c r="E384" s="12">
        <f>CHOOSE( CONTROL!$C$32, 10.5073, 10.505) * CHOOSE( CONTROL!$C$15, $D$11, 100%, $F$11)</f>
        <v>10.507300000000001</v>
      </c>
      <c r="F384" s="4">
        <f>CHOOSE( CONTROL!$C$32, 11.2054, 11.2031) * CHOOSE(CONTROL!$C$15, $D$11, 100%, $F$11)</f>
        <v>11.205399999999999</v>
      </c>
      <c r="G384" s="8">
        <f>CHOOSE( CONTROL!$C$32, 10.2388, 10.2365) * CHOOSE( CONTROL!$C$15, $D$11, 100%, $F$11)</f>
        <v>10.238799999999999</v>
      </c>
      <c r="H384" s="4">
        <f>CHOOSE( CONTROL!$C$32, 11.1897, 11.1874) * CHOOSE(CONTROL!$C$15, $D$11, 100%, $F$11)</f>
        <v>11.1897</v>
      </c>
      <c r="I384" s="8">
        <f>CHOOSE( CONTROL!$C$32, 10.1639, 10.1617) * CHOOSE(CONTROL!$C$15, $D$11, 100%, $F$11)</f>
        <v>10.1639</v>
      </c>
      <c r="J384" s="4">
        <f>CHOOSE( CONTROL!$C$32, 10.0442, 10.0419) * CHOOSE(CONTROL!$C$15, $D$11, 100%, $F$11)</f>
        <v>10.0442</v>
      </c>
      <c r="K384" s="4"/>
      <c r="L384" s="9">
        <v>30.7165</v>
      </c>
      <c r="M384" s="9">
        <v>12.063700000000001</v>
      </c>
      <c r="N384" s="9">
        <v>4.9444999999999997</v>
      </c>
      <c r="O384" s="9">
        <v>0.37409999999999999</v>
      </c>
      <c r="P384" s="9">
        <v>1.2183999999999999</v>
      </c>
      <c r="Q384" s="9">
        <v>20.396799999999999</v>
      </c>
      <c r="R384" s="9"/>
      <c r="S384" s="11"/>
    </row>
    <row r="385" spans="1:19" ht="15.75">
      <c r="A385" s="13">
        <v>53235</v>
      </c>
      <c r="B385" s="8">
        <f>CHOOSE( CONTROL!$C$32, 10.2574, 10.2551) * CHOOSE(CONTROL!$C$15, $D$11, 100%, $F$11)</f>
        <v>10.257400000000001</v>
      </c>
      <c r="C385" s="8">
        <f>CHOOSE( CONTROL!$C$32, 10.268, 10.2657) * CHOOSE(CONTROL!$C$15, $D$11, 100%, $F$11)</f>
        <v>10.268000000000001</v>
      </c>
      <c r="D385" s="8">
        <f>CHOOSE( CONTROL!$C$32, 10.3022, 10.2999) * CHOOSE( CONTROL!$C$15, $D$11, 100%, $F$11)</f>
        <v>10.302199999999999</v>
      </c>
      <c r="E385" s="12">
        <f>CHOOSE( CONTROL!$C$32, 10.2882, 10.2859) * CHOOSE( CONTROL!$C$15, $D$11, 100%, $F$11)</f>
        <v>10.2882</v>
      </c>
      <c r="F385" s="4">
        <f>CHOOSE( CONTROL!$C$32, 10.9864, 10.9841) * CHOOSE(CONTROL!$C$15, $D$11, 100%, $F$11)</f>
        <v>10.9864</v>
      </c>
      <c r="G385" s="8">
        <f>CHOOSE( CONTROL!$C$32, 10.0245, 10.0223) * CHOOSE( CONTROL!$C$15, $D$11, 100%, $F$11)</f>
        <v>10.0245</v>
      </c>
      <c r="H385" s="4">
        <f>CHOOSE( CONTROL!$C$32, 10.9755, 10.9732) * CHOOSE(CONTROL!$C$15, $D$11, 100%, $F$11)</f>
        <v>10.9755</v>
      </c>
      <c r="I385" s="8">
        <f>CHOOSE( CONTROL!$C$32, 9.9533, 9.9511) * CHOOSE(CONTROL!$C$15, $D$11, 100%, $F$11)</f>
        <v>9.9533000000000005</v>
      </c>
      <c r="J385" s="4">
        <f>CHOOSE( CONTROL!$C$32, 9.8338, 9.8316) * CHOOSE(CONTROL!$C$15, $D$11, 100%, $F$11)</f>
        <v>9.8338000000000001</v>
      </c>
      <c r="K385" s="4"/>
      <c r="L385" s="9">
        <v>29.7257</v>
      </c>
      <c r="M385" s="9">
        <v>11.6745</v>
      </c>
      <c r="N385" s="9">
        <v>4.7850000000000001</v>
      </c>
      <c r="O385" s="9">
        <v>0.36199999999999999</v>
      </c>
      <c r="P385" s="9">
        <v>1.1791</v>
      </c>
      <c r="Q385" s="9">
        <v>19.738800000000001</v>
      </c>
      <c r="R385" s="9"/>
      <c r="S385" s="11"/>
    </row>
    <row r="386" spans="1:19" ht="15.75">
      <c r="A386" s="13">
        <v>53266</v>
      </c>
      <c r="B386" s="8">
        <f>10.7101 * CHOOSE(CONTROL!$C$15, $D$11, 100%, $F$11)</f>
        <v>10.710100000000001</v>
      </c>
      <c r="C386" s="8">
        <f>10.7209 * CHOOSE(CONTROL!$C$15, $D$11, 100%, $F$11)</f>
        <v>10.7209</v>
      </c>
      <c r="D386" s="8">
        <f>10.7563 * CHOOSE( CONTROL!$C$15, $D$11, 100%, $F$11)</f>
        <v>10.7563</v>
      </c>
      <c r="E386" s="12">
        <f>10.7435 * CHOOSE( CONTROL!$C$15, $D$11, 100%, $F$11)</f>
        <v>10.743499999999999</v>
      </c>
      <c r="F386" s="4">
        <f>11.439 * CHOOSE(CONTROL!$C$15, $D$11, 100%, $F$11)</f>
        <v>11.439</v>
      </c>
      <c r="G386" s="8">
        <f>10.4668 * CHOOSE( CONTROL!$C$15, $D$11, 100%, $F$11)</f>
        <v>10.466799999999999</v>
      </c>
      <c r="H386" s="4">
        <f>11.418 * CHOOSE(CONTROL!$C$15, $D$11, 100%, $F$11)</f>
        <v>11.417999999999999</v>
      </c>
      <c r="I386" s="8">
        <f>10.3889 * CHOOSE(CONTROL!$C$15, $D$11, 100%, $F$11)</f>
        <v>10.3889</v>
      </c>
      <c r="J386" s="4">
        <f>10.2684 * CHOOSE(CONTROL!$C$15, $D$11, 100%, $F$11)</f>
        <v>10.2684</v>
      </c>
      <c r="K386" s="4"/>
      <c r="L386" s="9">
        <v>31.095300000000002</v>
      </c>
      <c r="M386" s="9">
        <v>12.063700000000001</v>
      </c>
      <c r="N386" s="9">
        <v>4.9444999999999997</v>
      </c>
      <c r="O386" s="9">
        <v>0.37409999999999999</v>
      </c>
      <c r="P386" s="9">
        <v>1.2183999999999999</v>
      </c>
      <c r="Q386" s="9">
        <v>20.396799999999999</v>
      </c>
      <c r="R386" s="9"/>
      <c r="S386" s="11"/>
    </row>
    <row r="387" spans="1:19" ht="15.75">
      <c r="A387" s="13">
        <v>53296</v>
      </c>
      <c r="B387" s="8">
        <f>11.5498 * CHOOSE(CONTROL!$C$15, $D$11, 100%, $F$11)</f>
        <v>11.549799999999999</v>
      </c>
      <c r="C387" s="8">
        <f>11.5606 * CHOOSE(CONTROL!$C$15, $D$11, 100%, $F$11)</f>
        <v>11.560600000000001</v>
      </c>
      <c r="D387" s="8">
        <f>11.5366 * CHOOSE( CONTROL!$C$15, $D$11, 100%, $F$11)</f>
        <v>11.5366</v>
      </c>
      <c r="E387" s="12">
        <f>11.5442 * CHOOSE( CONTROL!$C$15, $D$11, 100%, $F$11)</f>
        <v>11.5442</v>
      </c>
      <c r="F387" s="4">
        <f>12.2109 * CHOOSE(CONTROL!$C$15, $D$11, 100%, $F$11)</f>
        <v>12.210900000000001</v>
      </c>
      <c r="G387" s="8">
        <f>11.2877 * CHOOSE( CONTROL!$C$15, $D$11, 100%, $F$11)</f>
        <v>11.287699999999999</v>
      </c>
      <c r="H387" s="4">
        <f>12.1727 * CHOOSE(CONTROL!$C$15, $D$11, 100%, $F$11)</f>
        <v>12.172700000000001</v>
      </c>
      <c r="I387" s="8">
        <f>11.2388 * CHOOSE(CONTROL!$C$15, $D$11, 100%, $F$11)</f>
        <v>11.238799999999999</v>
      </c>
      <c r="J387" s="4">
        <f>11.0745 * CHOOSE(CONTROL!$C$15, $D$11, 100%, $F$11)</f>
        <v>11.0745</v>
      </c>
      <c r="K387" s="4"/>
      <c r="L387" s="9">
        <v>28.360600000000002</v>
      </c>
      <c r="M387" s="9">
        <v>11.6745</v>
      </c>
      <c r="N387" s="9">
        <v>4.7850000000000001</v>
      </c>
      <c r="O387" s="9">
        <v>0.36199999999999999</v>
      </c>
      <c r="P387" s="9">
        <v>1.2509999999999999</v>
      </c>
      <c r="Q387" s="9">
        <v>19.738800000000001</v>
      </c>
      <c r="R387" s="9"/>
      <c r="S387" s="11"/>
    </row>
    <row r="388" spans="1:19" ht="15.75">
      <c r="A388" s="13">
        <v>53327</v>
      </c>
      <c r="B388" s="8">
        <f>11.5288 * CHOOSE(CONTROL!$C$15, $D$11, 100%, $F$11)</f>
        <v>11.5288</v>
      </c>
      <c r="C388" s="8">
        <f>11.5396 * CHOOSE(CONTROL!$C$15, $D$11, 100%, $F$11)</f>
        <v>11.5396</v>
      </c>
      <c r="D388" s="8">
        <f>11.5173 * CHOOSE( CONTROL!$C$15, $D$11, 100%, $F$11)</f>
        <v>11.517300000000001</v>
      </c>
      <c r="E388" s="12">
        <f>11.5243 * CHOOSE( CONTROL!$C$15, $D$11, 100%, $F$11)</f>
        <v>11.5243</v>
      </c>
      <c r="F388" s="4">
        <f>12.1899 * CHOOSE(CONTROL!$C$15, $D$11, 100%, $F$11)</f>
        <v>12.1899</v>
      </c>
      <c r="G388" s="8">
        <f>11.2685 * CHOOSE( CONTROL!$C$15, $D$11, 100%, $F$11)</f>
        <v>11.2685</v>
      </c>
      <c r="H388" s="4">
        <f>12.1522 * CHOOSE(CONTROL!$C$15, $D$11, 100%, $F$11)</f>
        <v>12.152200000000001</v>
      </c>
      <c r="I388" s="8">
        <f>11.2239 * CHOOSE(CONTROL!$C$15, $D$11, 100%, $F$11)</f>
        <v>11.2239</v>
      </c>
      <c r="J388" s="4">
        <f>11.0544 * CHOOSE(CONTROL!$C$15, $D$11, 100%, $F$11)</f>
        <v>11.054399999999999</v>
      </c>
      <c r="K388" s="4"/>
      <c r="L388" s="9">
        <v>29.306000000000001</v>
      </c>
      <c r="M388" s="9">
        <v>12.063700000000001</v>
      </c>
      <c r="N388" s="9">
        <v>4.9444999999999997</v>
      </c>
      <c r="O388" s="9">
        <v>0.37409999999999999</v>
      </c>
      <c r="P388" s="9">
        <v>1.2927</v>
      </c>
      <c r="Q388" s="9">
        <v>20.396799999999999</v>
      </c>
      <c r="R388" s="9"/>
      <c r="S388" s="11"/>
    </row>
    <row r="389" spans="1:19" ht="15.75">
      <c r="A389" s="13">
        <v>53358</v>
      </c>
      <c r="B389" s="8">
        <f>11.8685 * CHOOSE(CONTROL!$C$15, $D$11, 100%, $F$11)</f>
        <v>11.868499999999999</v>
      </c>
      <c r="C389" s="8">
        <f>11.8792 * CHOOSE(CONTROL!$C$15, $D$11, 100%, $F$11)</f>
        <v>11.879200000000001</v>
      </c>
      <c r="D389" s="8">
        <f>11.8608 * CHOOSE( CONTROL!$C$15, $D$11, 100%, $F$11)</f>
        <v>11.860799999999999</v>
      </c>
      <c r="E389" s="12">
        <f>11.8664 * CHOOSE( CONTROL!$C$15, $D$11, 100%, $F$11)</f>
        <v>11.866400000000001</v>
      </c>
      <c r="F389" s="4">
        <f>12.5296 * CHOOSE(CONTROL!$C$15, $D$11, 100%, $F$11)</f>
        <v>12.5296</v>
      </c>
      <c r="G389" s="8">
        <f>11.5961 * CHOOSE( CONTROL!$C$15, $D$11, 100%, $F$11)</f>
        <v>11.5961</v>
      </c>
      <c r="H389" s="4">
        <f>12.4843 * CHOOSE(CONTROL!$C$15, $D$11, 100%, $F$11)</f>
        <v>12.484299999999999</v>
      </c>
      <c r="I389" s="8">
        <f>11.5055 * CHOOSE(CONTROL!$C$15, $D$11, 100%, $F$11)</f>
        <v>11.5055</v>
      </c>
      <c r="J389" s="4">
        <f>11.3804 * CHOOSE(CONTROL!$C$15, $D$11, 100%, $F$11)</f>
        <v>11.3804</v>
      </c>
      <c r="K389" s="4"/>
      <c r="L389" s="9">
        <v>29.306000000000001</v>
      </c>
      <c r="M389" s="9">
        <v>12.063700000000001</v>
      </c>
      <c r="N389" s="9">
        <v>4.9444999999999997</v>
      </c>
      <c r="O389" s="9">
        <v>0.37409999999999999</v>
      </c>
      <c r="P389" s="9">
        <v>1.2927</v>
      </c>
      <c r="Q389" s="9">
        <v>20.331700000000001</v>
      </c>
      <c r="R389" s="9"/>
      <c r="S389" s="11"/>
    </row>
    <row r="390" spans="1:19" ht="15.75">
      <c r="A390" s="13">
        <v>53386</v>
      </c>
      <c r="B390" s="8">
        <f>11.1022 * CHOOSE(CONTROL!$C$15, $D$11, 100%, $F$11)</f>
        <v>11.1022</v>
      </c>
      <c r="C390" s="8">
        <f>11.1129 * CHOOSE(CONTROL!$C$15, $D$11, 100%, $F$11)</f>
        <v>11.1129</v>
      </c>
      <c r="D390" s="8">
        <f>11.0944 * CHOOSE( CONTROL!$C$15, $D$11, 100%, $F$11)</f>
        <v>11.0944</v>
      </c>
      <c r="E390" s="12">
        <f>11.1 * CHOOSE( CONTROL!$C$15, $D$11, 100%, $F$11)</f>
        <v>11.1</v>
      </c>
      <c r="F390" s="4">
        <f>11.7633 * CHOOSE(CONTROL!$C$15, $D$11, 100%, $F$11)</f>
        <v>11.763299999999999</v>
      </c>
      <c r="G390" s="8">
        <f>10.8468 * CHOOSE( CONTROL!$C$15, $D$11, 100%, $F$11)</f>
        <v>10.8468</v>
      </c>
      <c r="H390" s="4">
        <f>11.7351 * CHOOSE(CONTROL!$C$15, $D$11, 100%, $F$11)</f>
        <v>11.735099999999999</v>
      </c>
      <c r="I390" s="8">
        <f>10.7689 * CHOOSE(CONTROL!$C$15, $D$11, 100%, $F$11)</f>
        <v>10.7689</v>
      </c>
      <c r="J390" s="4">
        <f>10.6447 * CHOOSE(CONTROL!$C$15, $D$11, 100%, $F$11)</f>
        <v>10.6447</v>
      </c>
      <c r="K390" s="4"/>
      <c r="L390" s="9">
        <v>26.469899999999999</v>
      </c>
      <c r="M390" s="9">
        <v>10.8962</v>
      </c>
      <c r="N390" s="9">
        <v>4.4660000000000002</v>
      </c>
      <c r="O390" s="9">
        <v>0.33789999999999998</v>
      </c>
      <c r="P390" s="9">
        <v>1.1676</v>
      </c>
      <c r="Q390" s="9">
        <v>18.364100000000001</v>
      </c>
      <c r="R390" s="9"/>
      <c r="S390" s="11"/>
    </row>
    <row r="391" spans="1:19" ht="15.75">
      <c r="A391" s="13">
        <v>53417</v>
      </c>
      <c r="B391" s="8">
        <f>10.8661 * CHOOSE(CONTROL!$C$15, $D$11, 100%, $F$11)</f>
        <v>10.866099999999999</v>
      </c>
      <c r="C391" s="8">
        <f>10.8769 * CHOOSE(CONTROL!$C$15, $D$11, 100%, $F$11)</f>
        <v>10.876899999999999</v>
      </c>
      <c r="D391" s="8">
        <f>10.8578 * CHOOSE( CONTROL!$C$15, $D$11, 100%, $F$11)</f>
        <v>10.857799999999999</v>
      </c>
      <c r="E391" s="12">
        <f>10.8636 * CHOOSE( CONTROL!$C$15, $D$11, 100%, $F$11)</f>
        <v>10.8636</v>
      </c>
      <c r="F391" s="4">
        <f>11.5272 * CHOOSE(CONTROL!$C$15, $D$11, 100%, $F$11)</f>
        <v>11.527200000000001</v>
      </c>
      <c r="G391" s="8">
        <f>10.6157 * CHOOSE( CONTROL!$C$15, $D$11, 100%, $F$11)</f>
        <v>10.6157</v>
      </c>
      <c r="H391" s="4">
        <f>11.5043 * CHOOSE(CONTROL!$C$15, $D$11, 100%, $F$11)</f>
        <v>11.504300000000001</v>
      </c>
      <c r="I391" s="8">
        <f>10.5407 * CHOOSE(CONTROL!$C$15, $D$11, 100%, $F$11)</f>
        <v>10.540699999999999</v>
      </c>
      <c r="J391" s="4">
        <f>10.4181 * CHOOSE(CONTROL!$C$15, $D$11, 100%, $F$11)</f>
        <v>10.418100000000001</v>
      </c>
      <c r="K391" s="4"/>
      <c r="L391" s="9">
        <v>29.306000000000001</v>
      </c>
      <c r="M391" s="9">
        <v>12.063700000000001</v>
      </c>
      <c r="N391" s="9">
        <v>4.9444999999999997</v>
      </c>
      <c r="O391" s="9">
        <v>0.37409999999999999</v>
      </c>
      <c r="P391" s="9">
        <v>1.2927</v>
      </c>
      <c r="Q391" s="9">
        <v>20.331700000000001</v>
      </c>
      <c r="R391" s="9"/>
      <c r="S391" s="11"/>
    </row>
    <row r="392" spans="1:19" ht="15.75">
      <c r="A392" s="13">
        <v>53447</v>
      </c>
      <c r="B392" s="8">
        <f>11.031 * CHOOSE(CONTROL!$C$15, $D$11, 100%, $F$11)</f>
        <v>11.031000000000001</v>
      </c>
      <c r="C392" s="8">
        <f>11.0418 * CHOOSE(CONTROL!$C$15, $D$11, 100%, $F$11)</f>
        <v>11.0418</v>
      </c>
      <c r="D392" s="8">
        <f>11.0766 * CHOOSE( CONTROL!$C$15, $D$11, 100%, $F$11)</f>
        <v>11.076599999999999</v>
      </c>
      <c r="E392" s="12">
        <f>11.0639 * CHOOSE( CONTROL!$C$15, $D$11, 100%, $F$11)</f>
        <v>11.0639</v>
      </c>
      <c r="F392" s="4">
        <f>11.7599 * CHOOSE(CONTROL!$C$15, $D$11, 100%, $F$11)</f>
        <v>11.7599</v>
      </c>
      <c r="G392" s="8">
        <f>10.7797 * CHOOSE( CONTROL!$C$15, $D$11, 100%, $F$11)</f>
        <v>10.7797</v>
      </c>
      <c r="H392" s="4">
        <f>11.7317 * CHOOSE(CONTROL!$C$15, $D$11, 100%, $F$11)</f>
        <v>11.7317</v>
      </c>
      <c r="I392" s="8">
        <f>10.6944 * CHOOSE(CONTROL!$C$15, $D$11, 100%, $F$11)</f>
        <v>10.6944</v>
      </c>
      <c r="J392" s="4">
        <f>10.5765 * CHOOSE(CONTROL!$C$15, $D$11, 100%, $F$11)</f>
        <v>10.576499999999999</v>
      </c>
      <c r="K392" s="4"/>
      <c r="L392" s="9">
        <v>30.092199999999998</v>
      </c>
      <c r="M392" s="9">
        <v>11.6745</v>
      </c>
      <c r="N392" s="9">
        <v>4.7850000000000001</v>
      </c>
      <c r="O392" s="9">
        <v>0.36199999999999999</v>
      </c>
      <c r="P392" s="9">
        <v>1.1791</v>
      </c>
      <c r="Q392" s="9">
        <v>19.675799999999999</v>
      </c>
      <c r="R392" s="9"/>
      <c r="S392" s="11"/>
    </row>
    <row r="393" spans="1:19" ht="15.75">
      <c r="A393" s="13">
        <v>53478</v>
      </c>
      <c r="B393" s="8">
        <f>CHOOSE( CONTROL!$C$32, 11.3267, 11.3244) * CHOOSE(CONTROL!$C$15, $D$11, 100%, $F$11)</f>
        <v>11.326700000000001</v>
      </c>
      <c r="C393" s="8">
        <f>CHOOSE( CONTROL!$C$32, 11.3373, 11.335) * CHOOSE(CONTROL!$C$15, $D$11, 100%, $F$11)</f>
        <v>11.337300000000001</v>
      </c>
      <c r="D393" s="8">
        <f>CHOOSE( CONTROL!$C$32, 11.3711, 11.3688) * CHOOSE( CONTROL!$C$15, $D$11, 100%, $F$11)</f>
        <v>11.3711</v>
      </c>
      <c r="E393" s="12">
        <f>CHOOSE( CONTROL!$C$32, 11.3572, 11.3549) * CHOOSE( CONTROL!$C$15, $D$11, 100%, $F$11)</f>
        <v>11.357200000000001</v>
      </c>
      <c r="F393" s="4">
        <f>CHOOSE( CONTROL!$C$32, 12.0557, 12.0534) * CHOOSE(CONTROL!$C$15, $D$11, 100%, $F$11)</f>
        <v>12.0557</v>
      </c>
      <c r="G393" s="8">
        <f>CHOOSE( CONTROL!$C$32, 11.0694, 11.0671) * CHOOSE( CONTROL!$C$15, $D$11, 100%, $F$11)</f>
        <v>11.0694</v>
      </c>
      <c r="H393" s="4">
        <f>CHOOSE( CONTROL!$C$32, 12.021, 12.0187) * CHOOSE(CONTROL!$C$15, $D$11, 100%, $F$11)</f>
        <v>12.021000000000001</v>
      </c>
      <c r="I393" s="8">
        <f>CHOOSE( CONTROL!$C$32, 10.9786, 10.9764) * CHOOSE(CONTROL!$C$15, $D$11, 100%, $F$11)</f>
        <v>10.9786</v>
      </c>
      <c r="J393" s="4">
        <f>CHOOSE( CONTROL!$C$32, 10.8605, 10.8583) * CHOOSE(CONTROL!$C$15, $D$11, 100%, $F$11)</f>
        <v>10.8605</v>
      </c>
      <c r="K393" s="4"/>
      <c r="L393" s="9">
        <v>30.7165</v>
      </c>
      <c r="M393" s="9">
        <v>12.063700000000001</v>
      </c>
      <c r="N393" s="9">
        <v>4.9444999999999997</v>
      </c>
      <c r="O393" s="9">
        <v>0.37409999999999999</v>
      </c>
      <c r="P393" s="9">
        <v>1.2183999999999999</v>
      </c>
      <c r="Q393" s="9">
        <v>20.331700000000001</v>
      </c>
      <c r="R393" s="9"/>
      <c r="S393" s="11"/>
    </row>
    <row r="394" spans="1:19" ht="15.75">
      <c r="A394" s="13">
        <v>53508</v>
      </c>
      <c r="B394" s="8">
        <f>CHOOSE( CONTROL!$C$32, 11.1449, 11.1426) * CHOOSE(CONTROL!$C$15, $D$11, 100%, $F$11)</f>
        <v>11.1449</v>
      </c>
      <c r="C394" s="8">
        <f>CHOOSE( CONTROL!$C$32, 11.1555, 11.1532) * CHOOSE(CONTROL!$C$15, $D$11, 100%, $F$11)</f>
        <v>11.1555</v>
      </c>
      <c r="D394" s="8">
        <f>CHOOSE( CONTROL!$C$32, 11.1895, 11.1872) * CHOOSE( CONTROL!$C$15, $D$11, 100%, $F$11)</f>
        <v>11.189500000000001</v>
      </c>
      <c r="E394" s="12">
        <f>CHOOSE( CONTROL!$C$32, 11.1756, 11.1733) * CHOOSE( CONTROL!$C$15, $D$11, 100%, $F$11)</f>
        <v>11.175599999999999</v>
      </c>
      <c r="F394" s="4">
        <f>CHOOSE( CONTROL!$C$32, 11.8739, 11.8716) * CHOOSE(CONTROL!$C$15, $D$11, 100%, $F$11)</f>
        <v>11.873900000000001</v>
      </c>
      <c r="G394" s="8">
        <f>CHOOSE( CONTROL!$C$32, 10.8919, 10.8896) * CHOOSE( CONTROL!$C$15, $D$11, 100%, $F$11)</f>
        <v>10.8919</v>
      </c>
      <c r="H394" s="4">
        <f>CHOOSE( CONTROL!$C$32, 11.8432, 11.8409) * CHOOSE(CONTROL!$C$15, $D$11, 100%, $F$11)</f>
        <v>11.8432</v>
      </c>
      <c r="I394" s="8">
        <f>CHOOSE( CONTROL!$C$32, 10.8047, 10.8025) * CHOOSE(CONTROL!$C$15, $D$11, 100%, $F$11)</f>
        <v>10.8047</v>
      </c>
      <c r="J394" s="4">
        <f>CHOOSE( CONTROL!$C$32, 10.6859, 10.6837) * CHOOSE(CONTROL!$C$15, $D$11, 100%, $F$11)</f>
        <v>10.6859</v>
      </c>
      <c r="K394" s="4"/>
      <c r="L394" s="9">
        <v>29.7257</v>
      </c>
      <c r="M394" s="9">
        <v>11.6745</v>
      </c>
      <c r="N394" s="9">
        <v>4.7850000000000001</v>
      </c>
      <c r="O394" s="9">
        <v>0.36199999999999999</v>
      </c>
      <c r="P394" s="9">
        <v>1.1791</v>
      </c>
      <c r="Q394" s="9">
        <v>19.675799999999999</v>
      </c>
      <c r="R394" s="9"/>
      <c r="S394" s="11"/>
    </row>
    <row r="395" spans="1:19" ht="15.75">
      <c r="A395" s="13">
        <v>53539</v>
      </c>
      <c r="B395" s="8">
        <f>CHOOSE( CONTROL!$C$32, 11.6237, 11.6214) * CHOOSE(CONTROL!$C$15, $D$11, 100%, $F$11)</f>
        <v>11.623699999999999</v>
      </c>
      <c r="C395" s="8">
        <f>CHOOSE( CONTROL!$C$32, 11.6343, 11.632) * CHOOSE(CONTROL!$C$15, $D$11, 100%, $F$11)</f>
        <v>11.6343</v>
      </c>
      <c r="D395" s="8">
        <f>CHOOSE( CONTROL!$C$32, 11.6685, 11.6662) * CHOOSE( CONTROL!$C$15, $D$11, 100%, $F$11)</f>
        <v>11.6685</v>
      </c>
      <c r="E395" s="12">
        <f>CHOOSE( CONTROL!$C$32, 11.6545, 11.6522) * CHOOSE( CONTROL!$C$15, $D$11, 100%, $F$11)</f>
        <v>11.654500000000001</v>
      </c>
      <c r="F395" s="4">
        <f>CHOOSE( CONTROL!$C$32, 12.3527, 12.3504) * CHOOSE(CONTROL!$C$15, $D$11, 100%, $F$11)</f>
        <v>12.3527</v>
      </c>
      <c r="G395" s="8">
        <f>CHOOSE( CONTROL!$C$32, 11.3603, 11.3581) * CHOOSE( CONTROL!$C$15, $D$11, 100%, $F$11)</f>
        <v>11.360300000000001</v>
      </c>
      <c r="H395" s="4">
        <f>CHOOSE( CONTROL!$C$32, 12.3113, 12.3091) * CHOOSE(CONTROL!$C$15, $D$11, 100%, $F$11)</f>
        <v>12.311299999999999</v>
      </c>
      <c r="I395" s="8">
        <f>CHOOSE( CONTROL!$C$32, 11.2656, 11.2634) * CHOOSE(CONTROL!$C$15, $D$11, 100%, $F$11)</f>
        <v>11.265599999999999</v>
      </c>
      <c r="J395" s="4">
        <f>CHOOSE( CONTROL!$C$32, 11.1456, 11.1434) * CHOOSE(CONTROL!$C$15, $D$11, 100%, $F$11)</f>
        <v>11.1456</v>
      </c>
      <c r="K395" s="4"/>
      <c r="L395" s="9">
        <v>30.7165</v>
      </c>
      <c r="M395" s="9">
        <v>12.063700000000001</v>
      </c>
      <c r="N395" s="9">
        <v>4.9444999999999997</v>
      </c>
      <c r="O395" s="9">
        <v>0.37409999999999999</v>
      </c>
      <c r="P395" s="9">
        <v>1.2183999999999999</v>
      </c>
      <c r="Q395" s="9">
        <v>20.331700000000001</v>
      </c>
      <c r="R395" s="9"/>
      <c r="S395" s="11"/>
    </row>
    <row r="396" spans="1:19" ht="15.75">
      <c r="A396" s="13">
        <v>53570</v>
      </c>
      <c r="B396" s="8">
        <f>CHOOSE( CONTROL!$C$32, 10.7278, 10.7255) * CHOOSE(CONTROL!$C$15, $D$11, 100%, $F$11)</f>
        <v>10.7278</v>
      </c>
      <c r="C396" s="8">
        <f>CHOOSE( CONTROL!$C$32, 10.7384, 10.7361) * CHOOSE(CONTROL!$C$15, $D$11, 100%, $F$11)</f>
        <v>10.7384</v>
      </c>
      <c r="D396" s="8">
        <f>CHOOSE( CONTROL!$C$32, 10.7726, 10.7703) * CHOOSE( CONTROL!$C$15, $D$11, 100%, $F$11)</f>
        <v>10.772600000000001</v>
      </c>
      <c r="E396" s="12">
        <f>CHOOSE( CONTROL!$C$32, 10.7586, 10.7563) * CHOOSE( CONTROL!$C$15, $D$11, 100%, $F$11)</f>
        <v>10.758599999999999</v>
      </c>
      <c r="F396" s="4">
        <f>CHOOSE( CONTROL!$C$32, 11.4568, 11.4545) * CHOOSE(CONTROL!$C$15, $D$11, 100%, $F$11)</f>
        <v>11.456799999999999</v>
      </c>
      <c r="G396" s="8">
        <f>CHOOSE( CONTROL!$C$32, 10.4845, 10.4822) * CHOOSE( CONTROL!$C$15, $D$11, 100%, $F$11)</f>
        <v>10.484500000000001</v>
      </c>
      <c r="H396" s="4">
        <f>CHOOSE( CONTROL!$C$32, 11.4354, 11.4331) * CHOOSE(CONTROL!$C$15, $D$11, 100%, $F$11)</f>
        <v>11.4354</v>
      </c>
      <c r="I396" s="8">
        <f>CHOOSE( CONTROL!$C$32, 10.4053, 10.4031) * CHOOSE(CONTROL!$C$15, $D$11, 100%, $F$11)</f>
        <v>10.4053</v>
      </c>
      <c r="J396" s="4">
        <f>CHOOSE( CONTROL!$C$32, 10.2854, 10.2832) * CHOOSE(CONTROL!$C$15, $D$11, 100%, $F$11)</f>
        <v>10.285399999999999</v>
      </c>
      <c r="K396" s="4"/>
      <c r="L396" s="9">
        <v>30.7165</v>
      </c>
      <c r="M396" s="9">
        <v>12.063700000000001</v>
      </c>
      <c r="N396" s="9">
        <v>4.9444999999999997</v>
      </c>
      <c r="O396" s="9">
        <v>0.37409999999999999</v>
      </c>
      <c r="P396" s="9">
        <v>1.2183999999999999</v>
      </c>
      <c r="Q396" s="9">
        <v>20.331700000000001</v>
      </c>
      <c r="R396" s="9"/>
      <c r="S396" s="11"/>
    </row>
    <row r="397" spans="1:19" ht="15.75">
      <c r="A397" s="13">
        <v>53600</v>
      </c>
      <c r="B397" s="8">
        <f>CHOOSE( CONTROL!$C$32, 10.5035, 10.5012) * CHOOSE(CONTROL!$C$15, $D$11, 100%, $F$11)</f>
        <v>10.503500000000001</v>
      </c>
      <c r="C397" s="8">
        <f>CHOOSE( CONTROL!$C$32, 10.514, 10.5117) * CHOOSE(CONTROL!$C$15, $D$11, 100%, $F$11)</f>
        <v>10.513999999999999</v>
      </c>
      <c r="D397" s="8">
        <f>CHOOSE( CONTROL!$C$32, 10.5483, 10.546) * CHOOSE( CONTROL!$C$15, $D$11, 100%, $F$11)</f>
        <v>10.548299999999999</v>
      </c>
      <c r="E397" s="12">
        <f>CHOOSE( CONTROL!$C$32, 10.5343, 10.532) * CHOOSE( CONTROL!$C$15, $D$11, 100%, $F$11)</f>
        <v>10.5343</v>
      </c>
      <c r="F397" s="4">
        <f>CHOOSE( CONTROL!$C$32, 11.2324, 11.2301) * CHOOSE(CONTROL!$C$15, $D$11, 100%, $F$11)</f>
        <v>11.2324</v>
      </c>
      <c r="G397" s="8">
        <f>CHOOSE( CONTROL!$C$32, 10.2651, 10.2628) * CHOOSE( CONTROL!$C$15, $D$11, 100%, $F$11)</f>
        <v>10.2651</v>
      </c>
      <c r="H397" s="4">
        <f>CHOOSE( CONTROL!$C$32, 11.216, 11.2138) * CHOOSE(CONTROL!$C$15, $D$11, 100%, $F$11)</f>
        <v>11.215999999999999</v>
      </c>
      <c r="I397" s="8">
        <f>CHOOSE( CONTROL!$C$32, 10.1896, 10.1874) * CHOOSE(CONTROL!$C$15, $D$11, 100%, $F$11)</f>
        <v>10.1896</v>
      </c>
      <c r="J397" s="4">
        <f>CHOOSE( CONTROL!$C$32, 10.07, 10.0678) * CHOOSE(CONTROL!$C$15, $D$11, 100%, $F$11)</f>
        <v>10.07</v>
      </c>
      <c r="K397" s="4"/>
      <c r="L397" s="9">
        <v>29.7257</v>
      </c>
      <c r="M397" s="9">
        <v>11.6745</v>
      </c>
      <c r="N397" s="9">
        <v>4.7850000000000001</v>
      </c>
      <c r="O397" s="9">
        <v>0.36199999999999999</v>
      </c>
      <c r="P397" s="9">
        <v>1.1791</v>
      </c>
      <c r="Q397" s="9">
        <v>19.675799999999999</v>
      </c>
      <c r="R397" s="9"/>
      <c r="S397" s="11"/>
    </row>
    <row r="398" spans="1:19" ht="15.75">
      <c r="A398" s="13">
        <v>53631</v>
      </c>
      <c r="B398" s="8">
        <f>10.9671 * CHOOSE(CONTROL!$C$15, $D$11, 100%, $F$11)</f>
        <v>10.9671</v>
      </c>
      <c r="C398" s="8">
        <f>10.9778 * CHOOSE(CONTROL!$C$15, $D$11, 100%, $F$11)</f>
        <v>10.9778</v>
      </c>
      <c r="D398" s="8">
        <f>11.0133 * CHOOSE( CONTROL!$C$15, $D$11, 100%, $F$11)</f>
        <v>11.013299999999999</v>
      </c>
      <c r="E398" s="12">
        <f>11.0004 * CHOOSE( CONTROL!$C$15, $D$11, 100%, $F$11)</f>
        <v>11.000400000000001</v>
      </c>
      <c r="F398" s="4">
        <f>11.6959 * CHOOSE(CONTROL!$C$15, $D$11, 100%, $F$11)</f>
        <v>11.6959</v>
      </c>
      <c r="G398" s="8">
        <f>10.7181 * CHOOSE( CONTROL!$C$15, $D$11, 100%, $F$11)</f>
        <v>10.7181</v>
      </c>
      <c r="H398" s="4">
        <f>11.6692 * CHOOSE(CONTROL!$C$15, $D$11, 100%, $F$11)</f>
        <v>11.6692</v>
      </c>
      <c r="I398" s="8">
        <f>10.6358 * CHOOSE(CONTROL!$C$15, $D$11, 100%, $F$11)</f>
        <v>10.6358</v>
      </c>
      <c r="J398" s="4">
        <f>10.5151 * CHOOSE(CONTROL!$C$15, $D$11, 100%, $F$11)</f>
        <v>10.5151</v>
      </c>
      <c r="K398" s="4"/>
      <c r="L398" s="9">
        <v>31.095300000000002</v>
      </c>
      <c r="M398" s="9">
        <v>12.063700000000001</v>
      </c>
      <c r="N398" s="9">
        <v>4.9444999999999997</v>
      </c>
      <c r="O398" s="9">
        <v>0.37409999999999999</v>
      </c>
      <c r="P398" s="9">
        <v>1.2183999999999999</v>
      </c>
      <c r="Q398" s="9">
        <v>20.331700000000001</v>
      </c>
      <c r="R398" s="9"/>
      <c r="S398" s="11"/>
    </row>
    <row r="399" spans="1:19" ht="15.75">
      <c r="A399" s="13">
        <v>53661</v>
      </c>
      <c r="B399" s="8">
        <f>11.827 * CHOOSE(CONTROL!$C$15, $D$11, 100%, $F$11)</f>
        <v>11.827</v>
      </c>
      <c r="C399" s="8">
        <f>11.8377 * CHOOSE(CONTROL!$C$15, $D$11, 100%, $F$11)</f>
        <v>11.8377</v>
      </c>
      <c r="D399" s="8">
        <f>11.8138 * CHOOSE( CONTROL!$C$15, $D$11, 100%, $F$11)</f>
        <v>11.813800000000001</v>
      </c>
      <c r="E399" s="12">
        <f>11.8214 * CHOOSE( CONTROL!$C$15, $D$11, 100%, $F$11)</f>
        <v>11.821400000000001</v>
      </c>
      <c r="F399" s="4">
        <f>12.4881 * CHOOSE(CONTROL!$C$15, $D$11, 100%, $F$11)</f>
        <v>12.488099999999999</v>
      </c>
      <c r="G399" s="8">
        <f>11.5587 * CHOOSE( CONTROL!$C$15, $D$11, 100%, $F$11)</f>
        <v>11.5587</v>
      </c>
      <c r="H399" s="4">
        <f>12.4437 * CHOOSE(CONTROL!$C$15, $D$11, 100%, $F$11)</f>
        <v>12.4437</v>
      </c>
      <c r="I399" s="8">
        <f>11.5051 * CHOOSE(CONTROL!$C$15, $D$11, 100%, $F$11)</f>
        <v>11.505100000000001</v>
      </c>
      <c r="J399" s="4">
        <f>11.3406 * CHOOSE(CONTROL!$C$15, $D$11, 100%, $F$11)</f>
        <v>11.3406</v>
      </c>
      <c r="K399" s="4"/>
      <c r="L399" s="9">
        <v>28.360600000000002</v>
      </c>
      <c r="M399" s="9">
        <v>11.6745</v>
      </c>
      <c r="N399" s="9">
        <v>4.7850000000000001</v>
      </c>
      <c r="O399" s="9">
        <v>0.36199999999999999</v>
      </c>
      <c r="P399" s="9">
        <v>1.2509999999999999</v>
      </c>
      <c r="Q399" s="9">
        <v>19.675799999999999</v>
      </c>
      <c r="R399" s="9"/>
      <c r="S399" s="11"/>
    </row>
    <row r="400" spans="1:19" ht="15.75">
      <c r="A400" s="13">
        <v>53692</v>
      </c>
      <c r="B400" s="8">
        <f>11.8055 * CHOOSE(CONTROL!$C$15, $D$11, 100%, $F$11)</f>
        <v>11.8055</v>
      </c>
      <c r="C400" s="8">
        <f>11.8162 * CHOOSE(CONTROL!$C$15, $D$11, 100%, $F$11)</f>
        <v>11.8162</v>
      </c>
      <c r="D400" s="8">
        <f>11.794 * CHOOSE( CONTROL!$C$15, $D$11, 100%, $F$11)</f>
        <v>11.794</v>
      </c>
      <c r="E400" s="12">
        <f>11.801 * CHOOSE( CONTROL!$C$15, $D$11, 100%, $F$11)</f>
        <v>11.801</v>
      </c>
      <c r="F400" s="4">
        <f>12.4666 * CHOOSE(CONTROL!$C$15, $D$11, 100%, $F$11)</f>
        <v>12.4666</v>
      </c>
      <c r="G400" s="8">
        <f>11.5389 * CHOOSE( CONTROL!$C$15, $D$11, 100%, $F$11)</f>
        <v>11.5389</v>
      </c>
      <c r="H400" s="4">
        <f>12.4227 * CHOOSE(CONTROL!$C$15, $D$11, 100%, $F$11)</f>
        <v>12.422700000000001</v>
      </c>
      <c r="I400" s="8">
        <f>11.4896 * CHOOSE(CONTROL!$C$15, $D$11, 100%, $F$11)</f>
        <v>11.489599999999999</v>
      </c>
      <c r="J400" s="4">
        <f>11.32 * CHOOSE(CONTROL!$C$15, $D$11, 100%, $F$11)</f>
        <v>11.32</v>
      </c>
      <c r="K400" s="4"/>
      <c r="L400" s="9">
        <v>29.306000000000001</v>
      </c>
      <c r="M400" s="9">
        <v>12.063700000000001</v>
      </c>
      <c r="N400" s="9">
        <v>4.9444999999999997</v>
      </c>
      <c r="O400" s="9">
        <v>0.37409999999999999</v>
      </c>
      <c r="P400" s="9">
        <v>1.2927</v>
      </c>
      <c r="Q400" s="9">
        <v>20.331700000000001</v>
      </c>
      <c r="R400" s="9"/>
      <c r="S400" s="11"/>
    </row>
    <row r="401" spans="1:19" ht="15.75">
      <c r="A401" s="13">
        <v>53723</v>
      </c>
      <c r="B401" s="8">
        <f>12.1533 * CHOOSE(CONTROL!$C$15, $D$11, 100%, $F$11)</f>
        <v>12.1533</v>
      </c>
      <c r="C401" s="8">
        <f>12.164 * CHOOSE(CONTROL!$C$15, $D$11, 100%, $F$11)</f>
        <v>12.164</v>
      </c>
      <c r="D401" s="8">
        <f>12.1456 * CHOOSE( CONTROL!$C$15, $D$11, 100%, $F$11)</f>
        <v>12.1456</v>
      </c>
      <c r="E401" s="12">
        <f>12.1512 * CHOOSE( CONTROL!$C$15, $D$11, 100%, $F$11)</f>
        <v>12.151199999999999</v>
      </c>
      <c r="F401" s="4">
        <f>12.8144 * CHOOSE(CONTROL!$C$15, $D$11, 100%, $F$11)</f>
        <v>12.814399999999999</v>
      </c>
      <c r="G401" s="8">
        <f>11.8746 * CHOOSE( CONTROL!$C$15, $D$11, 100%, $F$11)</f>
        <v>11.874599999999999</v>
      </c>
      <c r="H401" s="4">
        <f>12.7627 * CHOOSE(CONTROL!$C$15, $D$11, 100%, $F$11)</f>
        <v>12.762700000000001</v>
      </c>
      <c r="I401" s="8">
        <f>11.7791 * CHOOSE(CONTROL!$C$15, $D$11, 100%, $F$11)</f>
        <v>11.7791</v>
      </c>
      <c r="J401" s="4">
        <f>11.6539 * CHOOSE(CONTROL!$C$15, $D$11, 100%, $F$11)</f>
        <v>11.6539</v>
      </c>
      <c r="K401" s="4"/>
      <c r="L401" s="9">
        <v>29.306000000000001</v>
      </c>
      <c r="M401" s="9">
        <v>12.063700000000001</v>
      </c>
      <c r="N401" s="9">
        <v>4.9444999999999997</v>
      </c>
      <c r="O401" s="9">
        <v>0.37409999999999999</v>
      </c>
      <c r="P401" s="9">
        <v>1.2927</v>
      </c>
      <c r="Q401" s="9">
        <v>20.2666</v>
      </c>
      <c r="R401" s="9"/>
      <c r="S401" s="11"/>
    </row>
    <row r="402" spans="1:19" ht="15.75">
      <c r="A402" s="13">
        <v>53751</v>
      </c>
      <c r="B402" s="8">
        <f>11.3685 * CHOOSE(CONTROL!$C$15, $D$11, 100%, $F$11)</f>
        <v>11.368499999999999</v>
      </c>
      <c r="C402" s="8">
        <f>11.3793 * CHOOSE(CONTROL!$C$15, $D$11, 100%, $F$11)</f>
        <v>11.379300000000001</v>
      </c>
      <c r="D402" s="8">
        <f>11.3608 * CHOOSE( CONTROL!$C$15, $D$11, 100%, $F$11)</f>
        <v>11.360799999999999</v>
      </c>
      <c r="E402" s="12">
        <f>11.3664 * CHOOSE( CONTROL!$C$15, $D$11, 100%, $F$11)</f>
        <v>11.366400000000001</v>
      </c>
      <c r="F402" s="4">
        <f>12.0297 * CHOOSE(CONTROL!$C$15, $D$11, 100%, $F$11)</f>
        <v>12.0297</v>
      </c>
      <c r="G402" s="8">
        <f>11.1072 * CHOOSE( CONTROL!$C$15, $D$11, 100%, $F$11)</f>
        <v>11.107200000000001</v>
      </c>
      <c r="H402" s="4">
        <f>11.9955 * CHOOSE(CONTROL!$C$15, $D$11, 100%, $F$11)</f>
        <v>11.9955</v>
      </c>
      <c r="I402" s="8">
        <f>11.0248 * CHOOSE(CONTROL!$C$15, $D$11, 100%, $F$11)</f>
        <v>11.024800000000001</v>
      </c>
      <c r="J402" s="4">
        <f>10.9005 * CHOOSE(CONTROL!$C$15, $D$11, 100%, $F$11)</f>
        <v>10.900499999999999</v>
      </c>
      <c r="K402" s="4"/>
      <c r="L402" s="9">
        <v>26.469899999999999</v>
      </c>
      <c r="M402" s="9">
        <v>10.8962</v>
      </c>
      <c r="N402" s="9">
        <v>4.4660000000000002</v>
      </c>
      <c r="O402" s="9">
        <v>0.33789999999999998</v>
      </c>
      <c r="P402" s="9">
        <v>1.1676</v>
      </c>
      <c r="Q402" s="9">
        <v>18.305299999999999</v>
      </c>
      <c r="R402" s="9"/>
      <c r="S402" s="11"/>
    </row>
    <row r="403" spans="1:19" ht="15.75">
      <c r="A403" s="13">
        <v>53782</v>
      </c>
      <c r="B403" s="8">
        <f>11.1269 * CHOOSE(CONTROL!$C$15, $D$11, 100%, $F$11)</f>
        <v>11.126899999999999</v>
      </c>
      <c r="C403" s="8">
        <f>11.1376 * CHOOSE(CONTROL!$C$15, $D$11, 100%, $F$11)</f>
        <v>11.137600000000001</v>
      </c>
      <c r="D403" s="8">
        <f>11.1186 * CHOOSE( CONTROL!$C$15, $D$11, 100%, $F$11)</f>
        <v>11.118600000000001</v>
      </c>
      <c r="E403" s="12">
        <f>11.1244 * CHOOSE( CONTROL!$C$15, $D$11, 100%, $F$11)</f>
        <v>11.1244</v>
      </c>
      <c r="F403" s="4">
        <f>11.788 * CHOOSE(CONTROL!$C$15, $D$11, 100%, $F$11)</f>
        <v>11.788</v>
      </c>
      <c r="G403" s="8">
        <f>10.8706 * CHOOSE( CONTROL!$C$15, $D$11, 100%, $F$11)</f>
        <v>10.8706</v>
      </c>
      <c r="H403" s="4">
        <f>11.7592 * CHOOSE(CONTROL!$C$15, $D$11, 100%, $F$11)</f>
        <v>11.7592</v>
      </c>
      <c r="I403" s="8">
        <f>10.7911 * CHOOSE(CONTROL!$C$15, $D$11, 100%, $F$11)</f>
        <v>10.7911</v>
      </c>
      <c r="J403" s="4">
        <f>10.6684 * CHOOSE(CONTROL!$C$15, $D$11, 100%, $F$11)</f>
        <v>10.6684</v>
      </c>
      <c r="K403" s="4"/>
      <c r="L403" s="9">
        <v>29.306000000000001</v>
      </c>
      <c r="M403" s="9">
        <v>12.063700000000001</v>
      </c>
      <c r="N403" s="9">
        <v>4.9444999999999997</v>
      </c>
      <c r="O403" s="9">
        <v>0.37409999999999999</v>
      </c>
      <c r="P403" s="9">
        <v>1.2927</v>
      </c>
      <c r="Q403" s="9">
        <v>20.2666</v>
      </c>
      <c r="R403" s="9"/>
      <c r="S403" s="11"/>
    </row>
    <row r="404" spans="1:19" ht="15.75">
      <c r="A404" s="13">
        <v>53812</v>
      </c>
      <c r="B404" s="8">
        <f>11.2957 * CHOOSE(CONTROL!$C$15, $D$11, 100%, $F$11)</f>
        <v>11.2957</v>
      </c>
      <c r="C404" s="8">
        <f>11.3065 * CHOOSE(CONTROL!$C$15, $D$11, 100%, $F$11)</f>
        <v>11.3065</v>
      </c>
      <c r="D404" s="8">
        <f>11.3413 * CHOOSE( CONTROL!$C$15, $D$11, 100%, $F$11)</f>
        <v>11.3413</v>
      </c>
      <c r="E404" s="12">
        <f>11.3286 * CHOOSE( CONTROL!$C$15, $D$11, 100%, $F$11)</f>
        <v>11.3286</v>
      </c>
      <c r="F404" s="4">
        <f>12.0246 * CHOOSE(CONTROL!$C$15, $D$11, 100%, $F$11)</f>
        <v>12.0246</v>
      </c>
      <c r="G404" s="8">
        <f>11.0384 * CHOOSE( CONTROL!$C$15, $D$11, 100%, $F$11)</f>
        <v>11.038399999999999</v>
      </c>
      <c r="H404" s="4">
        <f>11.9905 * CHOOSE(CONTROL!$C$15, $D$11, 100%, $F$11)</f>
        <v>11.990500000000001</v>
      </c>
      <c r="I404" s="8">
        <f>10.9486 * CHOOSE(CONTROL!$C$15, $D$11, 100%, $F$11)</f>
        <v>10.948600000000001</v>
      </c>
      <c r="J404" s="4">
        <f>10.8306 * CHOOSE(CONTROL!$C$15, $D$11, 100%, $F$11)</f>
        <v>10.8306</v>
      </c>
      <c r="K404" s="4"/>
      <c r="L404" s="9">
        <v>30.092199999999998</v>
      </c>
      <c r="M404" s="9">
        <v>11.6745</v>
      </c>
      <c r="N404" s="9">
        <v>4.7850000000000001</v>
      </c>
      <c r="O404" s="9">
        <v>0.36199999999999999</v>
      </c>
      <c r="P404" s="9">
        <v>1.1791</v>
      </c>
      <c r="Q404" s="9">
        <v>19.6128</v>
      </c>
      <c r="R404" s="9"/>
      <c r="S404" s="11"/>
    </row>
    <row r="405" spans="1:19" ht="15.75">
      <c r="A405" s="13">
        <v>53843</v>
      </c>
      <c r="B405" s="8">
        <f>CHOOSE( CONTROL!$C$32, 11.5985, 11.5962) * CHOOSE(CONTROL!$C$15, $D$11, 100%, $F$11)</f>
        <v>11.5985</v>
      </c>
      <c r="C405" s="8">
        <f>CHOOSE( CONTROL!$C$32, 11.6091, 11.6068) * CHOOSE(CONTROL!$C$15, $D$11, 100%, $F$11)</f>
        <v>11.6091</v>
      </c>
      <c r="D405" s="8">
        <f>CHOOSE( CONTROL!$C$32, 11.6429, 11.6406) * CHOOSE( CONTROL!$C$15, $D$11, 100%, $F$11)</f>
        <v>11.642899999999999</v>
      </c>
      <c r="E405" s="12">
        <f>CHOOSE( CONTROL!$C$32, 11.629, 11.6267) * CHOOSE( CONTROL!$C$15, $D$11, 100%, $F$11)</f>
        <v>11.629</v>
      </c>
      <c r="F405" s="4">
        <f>CHOOSE( CONTROL!$C$32, 12.3274, 12.3251) * CHOOSE(CONTROL!$C$15, $D$11, 100%, $F$11)</f>
        <v>12.327400000000001</v>
      </c>
      <c r="G405" s="8">
        <f>CHOOSE( CONTROL!$C$32, 11.3351, 11.3328) * CHOOSE( CONTROL!$C$15, $D$11, 100%, $F$11)</f>
        <v>11.335100000000001</v>
      </c>
      <c r="H405" s="4">
        <f>CHOOSE( CONTROL!$C$32, 12.2867, 12.2844) * CHOOSE(CONTROL!$C$15, $D$11, 100%, $F$11)</f>
        <v>12.2867</v>
      </c>
      <c r="I405" s="8">
        <f>CHOOSE( CONTROL!$C$32, 11.2396, 11.2374) * CHOOSE(CONTROL!$C$15, $D$11, 100%, $F$11)</f>
        <v>11.239599999999999</v>
      </c>
      <c r="J405" s="4">
        <f>CHOOSE( CONTROL!$C$32, 11.1214, 11.1192) * CHOOSE(CONTROL!$C$15, $D$11, 100%, $F$11)</f>
        <v>11.1214</v>
      </c>
      <c r="K405" s="4"/>
      <c r="L405" s="9">
        <v>30.7165</v>
      </c>
      <c r="M405" s="9">
        <v>12.063700000000001</v>
      </c>
      <c r="N405" s="9">
        <v>4.9444999999999997</v>
      </c>
      <c r="O405" s="9">
        <v>0.37409999999999999</v>
      </c>
      <c r="P405" s="9">
        <v>1.2183999999999999</v>
      </c>
      <c r="Q405" s="9">
        <v>20.2666</v>
      </c>
      <c r="R405" s="9"/>
      <c r="S405" s="11"/>
    </row>
    <row r="406" spans="1:19" ht="15.75">
      <c r="A406" s="13">
        <v>53873</v>
      </c>
      <c r="B406" s="8">
        <f>CHOOSE( CONTROL!$C$32, 11.4123, 11.41) * CHOOSE(CONTROL!$C$15, $D$11, 100%, $F$11)</f>
        <v>11.4123</v>
      </c>
      <c r="C406" s="8">
        <f>CHOOSE( CONTROL!$C$32, 11.4229, 11.4206) * CHOOSE(CONTROL!$C$15, $D$11, 100%, $F$11)</f>
        <v>11.4229</v>
      </c>
      <c r="D406" s="8">
        <f>CHOOSE( CONTROL!$C$32, 11.4569, 11.4545) * CHOOSE( CONTROL!$C$15, $D$11, 100%, $F$11)</f>
        <v>11.456899999999999</v>
      </c>
      <c r="E406" s="12">
        <f>CHOOSE( CONTROL!$C$32, 11.443, 11.4406) * CHOOSE( CONTROL!$C$15, $D$11, 100%, $F$11)</f>
        <v>11.443</v>
      </c>
      <c r="F406" s="4">
        <f>CHOOSE( CONTROL!$C$32, 12.1412, 12.1389) * CHOOSE(CONTROL!$C$15, $D$11, 100%, $F$11)</f>
        <v>12.1412</v>
      </c>
      <c r="G406" s="8">
        <f>CHOOSE( CONTROL!$C$32, 11.1533, 11.151) * CHOOSE( CONTROL!$C$15, $D$11, 100%, $F$11)</f>
        <v>11.1533</v>
      </c>
      <c r="H406" s="4">
        <f>CHOOSE( CONTROL!$C$32, 12.1046, 12.1024) * CHOOSE(CONTROL!$C$15, $D$11, 100%, $F$11)</f>
        <v>12.1046</v>
      </c>
      <c r="I406" s="8">
        <f>CHOOSE( CONTROL!$C$32, 11.0615, 11.0593) * CHOOSE(CONTROL!$C$15, $D$11, 100%, $F$11)</f>
        <v>11.061500000000001</v>
      </c>
      <c r="J406" s="4">
        <f>CHOOSE( CONTROL!$C$32, 10.9426, 10.9404) * CHOOSE(CONTROL!$C$15, $D$11, 100%, $F$11)</f>
        <v>10.942600000000001</v>
      </c>
      <c r="K406" s="4"/>
      <c r="L406" s="9">
        <v>29.7257</v>
      </c>
      <c r="M406" s="9">
        <v>11.6745</v>
      </c>
      <c r="N406" s="9">
        <v>4.7850000000000001</v>
      </c>
      <c r="O406" s="9">
        <v>0.36199999999999999</v>
      </c>
      <c r="P406" s="9">
        <v>1.1791</v>
      </c>
      <c r="Q406" s="9">
        <v>19.6128</v>
      </c>
      <c r="R406" s="9"/>
      <c r="S406" s="11"/>
    </row>
    <row r="407" spans="1:19" ht="15.75">
      <c r="A407" s="13">
        <v>53904</v>
      </c>
      <c r="B407" s="8">
        <f>CHOOSE( CONTROL!$C$32, 11.9026, 11.9003) * CHOOSE(CONTROL!$C$15, $D$11, 100%, $F$11)</f>
        <v>11.9026</v>
      </c>
      <c r="C407" s="8">
        <f>CHOOSE( CONTROL!$C$32, 11.9132, 11.9109) * CHOOSE(CONTROL!$C$15, $D$11, 100%, $F$11)</f>
        <v>11.9132</v>
      </c>
      <c r="D407" s="8">
        <f>CHOOSE( CONTROL!$C$32, 11.9474, 11.9451) * CHOOSE( CONTROL!$C$15, $D$11, 100%, $F$11)</f>
        <v>11.9474</v>
      </c>
      <c r="E407" s="12">
        <f>CHOOSE( CONTROL!$C$32, 11.9334, 11.9311) * CHOOSE( CONTROL!$C$15, $D$11, 100%, $F$11)</f>
        <v>11.933400000000001</v>
      </c>
      <c r="F407" s="4">
        <f>CHOOSE( CONTROL!$C$32, 12.6316, 12.6293) * CHOOSE(CONTROL!$C$15, $D$11, 100%, $F$11)</f>
        <v>12.631600000000001</v>
      </c>
      <c r="G407" s="8">
        <f>CHOOSE( CONTROL!$C$32, 11.633, 11.6307) * CHOOSE( CONTROL!$C$15, $D$11, 100%, $F$11)</f>
        <v>11.632999999999999</v>
      </c>
      <c r="H407" s="4">
        <f>CHOOSE( CONTROL!$C$32, 12.584, 12.5818) * CHOOSE(CONTROL!$C$15, $D$11, 100%, $F$11)</f>
        <v>12.584</v>
      </c>
      <c r="I407" s="8">
        <f>CHOOSE( CONTROL!$C$32, 11.5335, 11.5313) * CHOOSE(CONTROL!$C$15, $D$11, 100%, $F$11)</f>
        <v>11.5335</v>
      </c>
      <c r="J407" s="4">
        <f>CHOOSE( CONTROL!$C$32, 11.4134, 11.4112) * CHOOSE(CONTROL!$C$15, $D$11, 100%, $F$11)</f>
        <v>11.413399999999999</v>
      </c>
      <c r="K407" s="4"/>
      <c r="L407" s="9">
        <v>30.7165</v>
      </c>
      <c r="M407" s="9">
        <v>12.063700000000001</v>
      </c>
      <c r="N407" s="9">
        <v>4.9444999999999997</v>
      </c>
      <c r="O407" s="9">
        <v>0.37409999999999999</v>
      </c>
      <c r="P407" s="9">
        <v>1.2183999999999999</v>
      </c>
      <c r="Q407" s="9">
        <v>20.2666</v>
      </c>
      <c r="R407" s="9"/>
      <c r="S407" s="11"/>
    </row>
    <row r="408" spans="1:19" ht="15.75">
      <c r="A408" s="13">
        <v>53935</v>
      </c>
      <c r="B408" s="8">
        <f>CHOOSE( CONTROL!$C$32, 10.9852, 10.9829) * CHOOSE(CONTROL!$C$15, $D$11, 100%, $F$11)</f>
        <v>10.985200000000001</v>
      </c>
      <c r="C408" s="8">
        <f>CHOOSE( CONTROL!$C$32, 10.9957, 10.9934) * CHOOSE(CONTROL!$C$15, $D$11, 100%, $F$11)</f>
        <v>10.995699999999999</v>
      </c>
      <c r="D408" s="8">
        <f>CHOOSE( CONTROL!$C$32, 11.03, 11.0277) * CHOOSE( CONTROL!$C$15, $D$11, 100%, $F$11)</f>
        <v>11.03</v>
      </c>
      <c r="E408" s="12">
        <f>CHOOSE( CONTROL!$C$32, 11.016, 11.0137) * CHOOSE( CONTROL!$C$15, $D$11, 100%, $F$11)</f>
        <v>11.016</v>
      </c>
      <c r="F408" s="4">
        <f>CHOOSE( CONTROL!$C$32, 11.7141, 11.7118) * CHOOSE(CONTROL!$C$15, $D$11, 100%, $F$11)</f>
        <v>11.7141</v>
      </c>
      <c r="G408" s="8">
        <f>CHOOSE( CONTROL!$C$32, 10.7361, 10.7338) * CHOOSE( CONTROL!$C$15, $D$11, 100%, $F$11)</f>
        <v>10.7361</v>
      </c>
      <c r="H408" s="4">
        <f>CHOOSE( CONTROL!$C$32, 11.687, 11.6847) * CHOOSE(CONTROL!$C$15, $D$11, 100%, $F$11)</f>
        <v>11.686999999999999</v>
      </c>
      <c r="I408" s="8">
        <f>CHOOSE( CONTROL!$C$32, 10.6525, 10.6503) * CHOOSE(CONTROL!$C$15, $D$11, 100%, $F$11)</f>
        <v>10.6525</v>
      </c>
      <c r="J408" s="4">
        <f>CHOOSE( CONTROL!$C$32, 10.5325, 10.5303) * CHOOSE(CONTROL!$C$15, $D$11, 100%, $F$11)</f>
        <v>10.532500000000001</v>
      </c>
      <c r="K408" s="4"/>
      <c r="L408" s="9">
        <v>30.7165</v>
      </c>
      <c r="M408" s="9">
        <v>12.063700000000001</v>
      </c>
      <c r="N408" s="9">
        <v>4.9444999999999997</v>
      </c>
      <c r="O408" s="9">
        <v>0.37409999999999999</v>
      </c>
      <c r="P408" s="9">
        <v>1.2183999999999999</v>
      </c>
      <c r="Q408" s="9">
        <v>20.2666</v>
      </c>
      <c r="R408" s="9"/>
      <c r="S408" s="11"/>
    </row>
    <row r="409" spans="1:19" ht="15.75">
      <c r="A409" s="13">
        <v>53965</v>
      </c>
      <c r="B409" s="8">
        <f>CHOOSE( CONTROL!$C$32, 10.7554, 10.7531) * CHOOSE(CONTROL!$C$15, $D$11, 100%, $F$11)</f>
        <v>10.7554</v>
      </c>
      <c r="C409" s="8">
        <f>CHOOSE( CONTROL!$C$32, 10.766, 10.7637) * CHOOSE(CONTROL!$C$15, $D$11, 100%, $F$11)</f>
        <v>10.766</v>
      </c>
      <c r="D409" s="8">
        <f>CHOOSE( CONTROL!$C$32, 10.8002, 10.7979) * CHOOSE( CONTROL!$C$15, $D$11, 100%, $F$11)</f>
        <v>10.8002</v>
      </c>
      <c r="E409" s="12">
        <f>CHOOSE( CONTROL!$C$32, 10.7862, 10.7839) * CHOOSE( CONTROL!$C$15, $D$11, 100%, $F$11)</f>
        <v>10.786199999999999</v>
      </c>
      <c r="F409" s="4">
        <f>CHOOSE( CONTROL!$C$32, 11.4844, 11.4821) * CHOOSE(CONTROL!$C$15, $D$11, 100%, $F$11)</f>
        <v>11.484400000000001</v>
      </c>
      <c r="G409" s="8">
        <f>CHOOSE( CONTROL!$C$32, 10.5114, 10.5091) * CHOOSE( CONTROL!$C$15, $D$11, 100%, $F$11)</f>
        <v>10.5114</v>
      </c>
      <c r="H409" s="4">
        <f>CHOOSE( CONTROL!$C$32, 11.4624, 11.4601) * CHOOSE(CONTROL!$C$15, $D$11, 100%, $F$11)</f>
        <v>11.462400000000001</v>
      </c>
      <c r="I409" s="8">
        <f>CHOOSE( CONTROL!$C$32, 10.4317, 10.4295) * CHOOSE(CONTROL!$C$15, $D$11, 100%, $F$11)</f>
        <v>10.431699999999999</v>
      </c>
      <c r="J409" s="4">
        <f>CHOOSE( CONTROL!$C$32, 10.3119, 10.3097) * CHOOSE(CONTROL!$C$15, $D$11, 100%, $F$11)</f>
        <v>10.3119</v>
      </c>
      <c r="K409" s="4"/>
      <c r="L409" s="9">
        <v>29.7257</v>
      </c>
      <c r="M409" s="9">
        <v>11.6745</v>
      </c>
      <c r="N409" s="9">
        <v>4.7850000000000001</v>
      </c>
      <c r="O409" s="9">
        <v>0.36199999999999999</v>
      </c>
      <c r="P409" s="9">
        <v>1.1791</v>
      </c>
      <c r="Q409" s="9">
        <v>19.6128</v>
      </c>
      <c r="R409" s="9"/>
      <c r="S409" s="11"/>
    </row>
    <row r="410" spans="1:19" ht="15.75">
      <c r="A410" s="13">
        <v>53996</v>
      </c>
      <c r="B410" s="8">
        <f>11.2303 * CHOOSE(CONTROL!$C$15, $D$11, 100%, $F$11)</f>
        <v>11.2303</v>
      </c>
      <c r="C410" s="8">
        <f>11.241 * CHOOSE(CONTROL!$C$15, $D$11, 100%, $F$11)</f>
        <v>11.241</v>
      </c>
      <c r="D410" s="8">
        <f>11.2764 * CHOOSE( CONTROL!$C$15, $D$11, 100%, $F$11)</f>
        <v>11.276400000000001</v>
      </c>
      <c r="E410" s="12">
        <f>11.2636 * CHOOSE( CONTROL!$C$15, $D$11, 100%, $F$11)</f>
        <v>11.2636</v>
      </c>
      <c r="F410" s="4">
        <f>11.9591 * CHOOSE(CONTROL!$C$15, $D$11, 100%, $F$11)</f>
        <v>11.959099999999999</v>
      </c>
      <c r="G410" s="8">
        <f>10.9754 * CHOOSE( CONTROL!$C$15, $D$11, 100%, $F$11)</f>
        <v>10.9754</v>
      </c>
      <c r="H410" s="4">
        <f>11.9265 * CHOOSE(CONTROL!$C$15, $D$11, 100%, $F$11)</f>
        <v>11.926500000000001</v>
      </c>
      <c r="I410" s="8">
        <f>10.8886 * CHOOSE(CONTROL!$C$15, $D$11, 100%, $F$11)</f>
        <v>10.8886</v>
      </c>
      <c r="J410" s="4">
        <f>10.7677 * CHOOSE(CONTROL!$C$15, $D$11, 100%, $F$11)</f>
        <v>10.7677</v>
      </c>
      <c r="K410" s="4"/>
      <c r="L410" s="9">
        <v>31.095300000000002</v>
      </c>
      <c r="M410" s="9">
        <v>12.063700000000001</v>
      </c>
      <c r="N410" s="9">
        <v>4.9444999999999997</v>
      </c>
      <c r="O410" s="9">
        <v>0.37409999999999999</v>
      </c>
      <c r="P410" s="9">
        <v>1.2183999999999999</v>
      </c>
      <c r="Q410" s="9">
        <v>20.2666</v>
      </c>
      <c r="R410" s="9"/>
      <c r="S410" s="11"/>
    </row>
    <row r="411" spans="1:19" ht="15.75">
      <c r="A411" s="13">
        <v>54026</v>
      </c>
      <c r="B411" s="8">
        <f>12.1108 * CHOOSE(CONTROL!$C$15, $D$11, 100%, $F$11)</f>
        <v>12.110799999999999</v>
      </c>
      <c r="C411" s="8">
        <f>12.1215 * CHOOSE(CONTROL!$C$15, $D$11, 100%, $F$11)</f>
        <v>12.121499999999999</v>
      </c>
      <c r="D411" s="8">
        <f>12.0976 * CHOOSE( CONTROL!$C$15, $D$11, 100%, $F$11)</f>
        <v>12.0976</v>
      </c>
      <c r="E411" s="12">
        <f>12.1052 * CHOOSE( CONTROL!$C$15, $D$11, 100%, $F$11)</f>
        <v>12.1052</v>
      </c>
      <c r="F411" s="4">
        <f>12.7719 * CHOOSE(CONTROL!$C$15, $D$11, 100%, $F$11)</f>
        <v>12.7719</v>
      </c>
      <c r="G411" s="8">
        <f>11.8362 * CHOOSE( CONTROL!$C$15, $D$11, 100%, $F$11)</f>
        <v>11.8362</v>
      </c>
      <c r="H411" s="4">
        <f>12.7212 * CHOOSE(CONTROL!$C$15, $D$11, 100%, $F$11)</f>
        <v>12.7212</v>
      </c>
      <c r="I411" s="8">
        <f>11.7777 * CHOOSE(CONTROL!$C$15, $D$11, 100%, $F$11)</f>
        <v>11.777699999999999</v>
      </c>
      <c r="J411" s="4">
        <f>11.6131 * CHOOSE(CONTROL!$C$15, $D$11, 100%, $F$11)</f>
        <v>11.613099999999999</v>
      </c>
      <c r="K411" s="4"/>
      <c r="L411" s="9">
        <v>28.360600000000002</v>
      </c>
      <c r="M411" s="9">
        <v>11.6745</v>
      </c>
      <c r="N411" s="9">
        <v>4.7850000000000001</v>
      </c>
      <c r="O411" s="9">
        <v>0.36199999999999999</v>
      </c>
      <c r="P411" s="9">
        <v>1.2509999999999999</v>
      </c>
      <c r="Q411" s="9">
        <v>19.6128</v>
      </c>
      <c r="R411" s="9"/>
      <c r="S411" s="11"/>
    </row>
    <row r="412" spans="1:19" ht="15.75">
      <c r="A412" s="13">
        <v>54057</v>
      </c>
      <c r="B412" s="8">
        <f>12.0888 * CHOOSE(CONTROL!$C$15, $D$11, 100%, $F$11)</f>
        <v>12.088800000000001</v>
      </c>
      <c r="C412" s="8">
        <f>12.0995 * CHOOSE(CONTROL!$C$15, $D$11, 100%, $F$11)</f>
        <v>12.099500000000001</v>
      </c>
      <c r="D412" s="8">
        <f>12.0773 * CHOOSE( CONTROL!$C$15, $D$11, 100%, $F$11)</f>
        <v>12.077299999999999</v>
      </c>
      <c r="E412" s="12">
        <f>12.0843 * CHOOSE( CONTROL!$C$15, $D$11, 100%, $F$11)</f>
        <v>12.084300000000001</v>
      </c>
      <c r="F412" s="4">
        <f>12.7499 * CHOOSE(CONTROL!$C$15, $D$11, 100%, $F$11)</f>
        <v>12.7499</v>
      </c>
      <c r="G412" s="8">
        <f>11.8159 * CHOOSE( CONTROL!$C$15, $D$11, 100%, $F$11)</f>
        <v>11.815899999999999</v>
      </c>
      <c r="H412" s="4">
        <f>12.6997 * CHOOSE(CONTROL!$C$15, $D$11, 100%, $F$11)</f>
        <v>12.6997</v>
      </c>
      <c r="I412" s="8">
        <f>11.7617 * CHOOSE(CONTROL!$C$15, $D$11, 100%, $F$11)</f>
        <v>11.761699999999999</v>
      </c>
      <c r="J412" s="4">
        <f>11.592 * CHOOSE(CONTROL!$C$15, $D$11, 100%, $F$11)</f>
        <v>11.592000000000001</v>
      </c>
      <c r="K412" s="4"/>
      <c r="L412" s="9">
        <v>29.306000000000001</v>
      </c>
      <c r="M412" s="9">
        <v>12.063700000000001</v>
      </c>
      <c r="N412" s="9">
        <v>4.9444999999999997</v>
      </c>
      <c r="O412" s="9">
        <v>0.37409999999999999</v>
      </c>
      <c r="P412" s="9">
        <v>1.2927</v>
      </c>
      <c r="Q412" s="9">
        <v>20.2666</v>
      </c>
      <c r="R412" s="9"/>
      <c r="S412" s="11"/>
    </row>
    <row r="413" spans="1:19" ht="15.75">
      <c r="A413" s="13">
        <v>54088</v>
      </c>
      <c r="B413" s="8">
        <f>12.4449 * CHOOSE(CONTROL!$C$15, $D$11, 100%, $F$11)</f>
        <v>12.444900000000001</v>
      </c>
      <c r="C413" s="8">
        <f>12.4557 * CHOOSE(CONTROL!$C$15, $D$11, 100%, $F$11)</f>
        <v>12.4557</v>
      </c>
      <c r="D413" s="8">
        <f>12.4373 * CHOOSE( CONTROL!$C$15, $D$11, 100%, $F$11)</f>
        <v>12.4373</v>
      </c>
      <c r="E413" s="12">
        <f>12.4429 * CHOOSE( CONTROL!$C$15, $D$11, 100%, $F$11)</f>
        <v>12.4429</v>
      </c>
      <c r="F413" s="4">
        <f>13.106 * CHOOSE(CONTROL!$C$15, $D$11, 100%, $F$11)</f>
        <v>13.106</v>
      </c>
      <c r="G413" s="8">
        <f>12.1597 * CHOOSE( CONTROL!$C$15, $D$11, 100%, $F$11)</f>
        <v>12.159700000000001</v>
      </c>
      <c r="H413" s="4">
        <f>13.0479 * CHOOSE(CONTROL!$C$15, $D$11, 100%, $F$11)</f>
        <v>13.0479</v>
      </c>
      <c r="I413" s="8">
        <f>12.0592 * CHOOSE(CONTROL!$C$15, $D$11, 100%, $F$11)</f>
        <v>12.059200000000001</v>
      </c>
      <c r="J413" s="4">
        <f>11.9339 * CHOOSE(CONTROL!$C$15, $D$11, 100%, $F$11)</f>
        <v>11.9339</v>
      </c>
      <c r="K413" s="4"/>
      <c r="L413" s="9">
        <v>29.306000000000001</v>
      </c>
      <c r="M413" s="9">
        <v>12.063700000000001</v>
      </c>
      <c r="N413" s="9">
        <v>4.9444999999999997</v>
      </c>
      <c r="O413" s="9">
        <v>0.37409999999999999</v>
      </c>
      <c r="P413" s="9">
        <v>1.2927</v>
      </c>
      <c r="Q413" s="9">
        <v>20.201499999999999</v>
      </c>
      <c r="R413" s="9"/>
      <c r="S413" s="11"/>
    </row>
    <row r="414" spans="1:19" ht="15.75">
      <c r="A414" s="13">
        <v>54116</v>
      </c>
      <c r="B414" s="8">
        <f>11.6413 * CHOOSE(CONTROL!$C$15, $D$11, 100%, $F$11)</f>
        <v>11.641299999999999</v>
      </c>
      <c r="C414" s="8">
        <f>11.6521 * CHOOSE(CONTROL!$C$15, $D$11, 100%, $F$11)</f>
        <v>11.652100000000001</v>
      </c>
      <c r="D414" s="8">
        <f>11.6335 * CHOOSE( CONTROL!$C$15, $D$11, 100%, $F$11)</f>
        <v>11.6335</v>
      </c>
      <c r="E414" s="12">
        <f>11.6392 * CHOOSE( CONTROL!$C$15, $D$11, 100%, $F$11)</f>
        <v>11.639200000000001</v>
      </c>
      <c r="F414" s="4">
        <f>12.3024 * CHOOSE(CONTROL!$C$15, $D$11, 100%, $F$11)</f>
        <v>12.3024</v>
      </c>
      <c r="G414" s="8">
        <f>11.3739 * CHOOSE( CONTROL!$C$15, $D$11, 100%, $F$11)</f>
        <v>11.373900000000001</v>
      </c>
      <c r="H414" s="4">
        <f>12.2622 * CHOOSE(CONTROL!$C$15, $D$11, 100%, $F$11)</f>
        <v>12.2622</v>
      </c>
      <c r="I414" s="8">
        <f>11.2868 * CHOOSE(CONTROL!$C$15, $D$11, 100%, $F$11)</f>
        <v>11.286799999999999</v>
      </c>
      <c r="J414" s="4">
        <f>11.1624 * CHOOSE(CONTROL!$C$15, $D$11, 100%, $F$11)</f>
        <v>11.1624</v>
      </c>
      <c r="K414" s="4"/>
      <c r="L414" s="9">
        <v>27.415299999999998</v>
      </c>
      <c r="M414" s="9">
        <v>11.285299999999999</v>
      </c>
      <c r="N414" s="9">
        <v>4.6254999999999997</v>
      </c>
      <c r="O414" s="9">
        <v>0.34989999999999999</v>
      </c>
      <c r="P414" s="9">
        <v>1.2093</v>
      </c>
      <c r="Q414" s="9">
        <v>18.898099999999999</v>
      </c>
      <c r="R414" s="9"/>
      <c r="S414" s="11"/>
    </row>
    <row r="415" spans="1:19" ht="15.75">
      <c r="A415" s="13">
        <v>54148</v>
      </c>
      <c r="B415" s="8">
        <f>11.3938 * CHOOSE(CONTROL!$C$15, $D$11, 100%, $F$11)</f>
        <v>11.393800000000001</v>
      </c>
      <c r="C415" s="8">
        <f>11.4046 * CHOOSE(CONTROL!$C$15, $D$11, 100%, $F$11)</f>
        <v>11.4046</v>
      </c>
      <c r="D415" s="8">
        <f>11.3856 * CHOOSE( CONTROL!$C$15, $D$11, 100%, $F$11)</f>
        <v>11.3856</v>
      </c>
      <c r="E415" s="12">
        <f>11.3914 * CHOOSE( CONTROL!$C$15, $D$11, 100%, $F$11)</f>
        <v>11.391400000000001</v>
      </c>
      <c r="F415" s="4">
        <f>12.055 * CHOOSE(CONTROL!$C$15, $D$11, 100%, $F$11)</f>
        <v>12.055</v>
      </c>
      <c r="G415" s="8">
        <f>11.1316 * CHOOSE( CONTROL!$C$15, $D$11, 100%, $F$11)</f>
        <v>11.131600000000001</v>
      </c>
      <c r="H415" s="4">
        <f>12.0202 * CHOOSE(CONTROL!$C$15, $D$11, 100%, $F$11)</f>
        <v>12.020200000000001</v>
      </c>
      <c r="I415" s="8">
        <f>11.0476 * CHOOSE(CONTROL!$C$15, $D$11, 100%, $F$11)</f>
        <v>11.047599999999999</v>
      </c>
      <c r="J415" s="4">
        <f>10.9248 * CHOOSE(CONTROL!$C$15, $D$11, 100%, $F$11)</f>
        <v>10.924799999999999</v>
      </c>
      <c r="K415" s="4"/>
      <c r="L415" s="9">
        <v>29.306000000000001</v>
      </c>
      <c r="M415" s="9">
        <v>12.063700000000001</v>
      </c>
      <c r="N415" s="9">
        <v>4.9444999999999997</v>
      </c>
      <c r="O415" s="9">
        <v>0.37409999999999999</v>
      </c>
      <c r="P415" s="9">
        <v>1.2927</v>
      </c>
      <c r="Q415" s="9">
        <v>20.201499999999999</v>
      </c>
      <c r="R415" s="9"/>
      <c r="S415" s="11"/>
    </row>
    <row r="416" spans="1:19" ht="15.75">
      <c r="A416" s="13">
        <v>54178</v>
      </c>
      <c r="B416" s="8">
        <f>11.5667 * CHOOSE(CONTROL!$C$15, $D$11, 100%, $F$11)</f>
        <v>11.566700000000001</v>
      </c>
      <c r="C416" s="8">
        <f>11.5775 * CHOOSE(CONTROL!$C$15, $D$11, 100%, $F$11)</f>
        <v>11.577500000000001</v>
      </c>
      <c r="D416" s="8">
        <f>11.6123 * CHOOSE( CONTROL!$C$15, $D$11, 100%, $F$11)</f>
        <v>11.612299999999999</v>
      </c>
      <c r="E416" s="12">
        <f>11.5996 * CHOOSE( CONTROL!$C$15, $D$11, 100%, $F$11)</f>
        <v>11.599600000000001</v>
      </c>
      <c r="F416" s="4">
        <f>12.2956 * CHOOSE(CONTROL!$C$15, $D$11, 100%, $F$11)</f>
        <v>12.2956</v>
      </c>
      <c r="G416" s="8">
        <f>11.3034 * CHOOSE( CONTROL!$C$15, $D$11, 100%, $F$11)</f>
        <v>11.3034</v>
      </c>
      <c r="H416" s="4">
        <f>12.2555 * CHOOSE(CONTROL!$C$15, $D$11, 100%, $F$11)</f>
        <v>12.2555</v>
      </c>
      <c r="I416" s="8">
        <f>11.209 * CHOOSE(CONTROL!$C$15, $D$11, 100%, $F$11)</f>
        <v>11.209</v>
      </c>
      <c r="J416" s="4">
        <f>11.0908 * CHOOSE(CONTROL!$C$15, $D$11, 100%, $F$11)</f>
        <v>11.0908</v>
      </c>
      <c r="K416" s="4"/>
      <c r="L416" s="9">
        <v>30.092199999999998</v>
      </c>
      <c r="M416" s="9">
        <v>11.6745</v>
      </c>
      <c r="N416" s="9">
        <v>4.7850000000000001</v>
      </c>
      <c r="O416" s="9">
        <v>0.36199999999999999</v>
      </c>
      <c r="P416" s="9">
        <v>1.1791</v>
      </c>
      <c r="Q416" s="9">
        <v>19.549800000000001</v>
      </c>
      <c r="R416" s="9"/>
      <c r="S416" s="11"/>
    </row>
    <row r="417" spans="1:19" ht="15.75">
      <c r="A417" s="13">
        <v>54209</v>
      </c>
      <c r="B417" s="8">
        <f>CHOOSE( CONTROL!$C$32, 11.8768, 11.8745) * CHOOSE(CONTROL!$C$15, $D$11, 100%, $F$11)</f>
        <v>11.876799999999999</v>
      </c>
      <c r="C417" s="8">
        <f>CHOOSE( CONTROL!$C$32, 11.8873, 11.885) * CHOOSE(CONTROL!$C$15, $D$11, 100%, $F$11)</f>
        <v>11.8873</v>
      </c>
      <c r="D417" s="8">
        <f>CHOOSE( CONTROL!$C$32, 11.9212, 11.9189) * CHOOSE( CONTROL!$C$15, $D$11, 100%, $F$11)</f>
        <v>11.921200000000001</v>
      </c>
      <c r="E417" s="12">
        <f>CHOOSE( CONTROL!$C$32, 11.9073, 11.905) * CHOOSE( CONTROL!$C$15, $D$11, 100%, $F$11)</f>
        <v>11.907299999999999</v>
      </c>
      <c r="F417" s="4">
        <f>CHOOSE( CONTROL!$C$32, 12.6057, 12.6034) * CHOOSE(CONTROL!$C$15, $D$11, 100%, $F$11)</f>
        <v>12.605700000000001</v>
      </c>
      <c r="G417" s="8">
        <f>CHOOSE( CONTROL!$C$32, 11.6071, 11.6049) * CHOOSE( CONTROL!$C$15, $D$11, 100%, $F$11)</f>
        <v>11.607100000000001</v>
      </c>
      <c r="H417" s="4">
        <f>CHOOSE( CONTROL!$C$32, 12.5587, 12.5565) * CHOOSE(CONTROL!$C$15, $D$11, 100%, $F$11)</f>
        <v>12.5587</v>
      </c>
      <c r="I417" s="8">
        <f>CHOOSE( CONTROL!$C$32, 11.5069, 11.5047) * CHOOSE(CONTROL!$C$15, $D$11, 100%, $F$11)</f>
        <v>11.5069</v>
      </c>
      <c r="J417" s="4">
        <f>CHOOSE( CONTROL!$C$32, 11.3885, 11.3863) * CHOOSE(CONTROL!$C$15, $D$11, 100%, $F$11)</f>
        <v>11.388500000000001</v>
      </c>
      <c r="K417" s="4"/>
      <c r="L417" s="9">
        <v>30.7165</v>
      </c>
      <c r="M417" s="9">
        <v>12.063700000000001</v>
      </c>
      <c r="N417" s="9">
        <v>4.9444999999999997</v>
      </c>
      <c r="O417" s="9">
        <v>0.37409999999999999</v>
      </c>
      <c r="P417" s="9">
        <v>1.2183999999999999</v>
      </c>
      <c r="Q417" s="9">
        <v>20.201499999999999</v>
      </c>
      <c r="R417" s="9"/>
      <c r="S417" s="11"/>
    </row>
    <row r="418" spans="1:19" ht="15.75">
      <c r="A418" s="13">
        <v>54239</v>
      </c>
      <c r="B418" s="8">
        <f>CHOOSE( CONTROL!$C$32, 11.6861, 11.6838) * CHOOSE(CONTROL!$C$15, $D$11, 100%, $F$11)</f>
        <v>11.6861</v>
      </c>
      <c r="C418" s="8">
        <f>CHOOSE( CONTROL!$C$32, 11.6967, 11.6944) * CHOOSE(CONTROL!$C$15, $D$11, 100%, $F$11)</f>
        <v>11.6967</v>
      </c>
      <c r="D418" s="8">
        <f>CHOOSE( CONTROL!$C$32, 11.7306, 11.7283) * CHOOSE( CONTROL!$C$15, $D$11, 100%, $F$11)</f>
        <v>11.730600000000001</v>
      </c>
      <c r="E418" s="12">
        <f>CHOOSE( CONTROL!$C$32, 11.7167, 11.7144) * CHOOSE( CONTROL!$C$15, $D$11, 100%, $F$11)</f>
        <v>11.716699999999999</v>
      </c>
      <c r="F418" s="4">
        <f>CHOOSE( CONTROL!$C$32, 12.415, 12.4127) * CHOOSE(CONTROL!$C$15, $D$11, 100%, $F$11)</f>
        <v>12.414999999999999</v>
      </c>
      <c r="G418" s="8">
        <f>CHOOSE( CONTROL!$C$32, 11.421, 11.4187) * CHOOSE( CONTROL!$C$15, $D$11, 100%, $F$11)</f>
        <v>11.420999999999999</v>
      </c>
      <c r="H418" s="4">
        <f>CHOOSE( CONTROL!$C$32, 12.3723, 12.37) * CHOOSE(CONTROL!$C$15, $D$11, 100%, $F$11)</f>
        <v>12.372299999999999</v>
      </c>
      <c r="I418" s="8">
        <f>CHOOSE( CONTROL!$C$32, 11.3245, 11.3223) * CHOOSE(CONTROL!$C$15, $D$11, 100%, $F$11)</f>
        <v>11.3245</v>
      </c>
      <c r="J418" s="4">
        <f>CHOOSE( CONTROL!$C$32, 11.2055, 11.2033) * CHOOSE(CONTROL!$C$15, $D$11, 100%, $F$11)</f>
        <v>11.205500000000001</v>
      </c>
      <c r="K418" s="4"/>
      <c r="L418" s="9">
        <v>29.7257</v>
      </c>
      <c r="M418" s="9">
        <v>11.6745</v>
      </c>
      <c r="N418" s="9">
        <v>4.7850000000000001</v>
      </c>
      <c r="O418" s="9">
        <v>0.36199999999999999</v>
      </c>
      <c r="P418" s="9">
        <v>1.1791</v>
      </c>
      <c r="Q418" s="9">
        <v>19.549800000000001</v>
      </c>
      <c r="R418" s="9"/>
      <c r="S418" s="11"/>
    </row>
    <row r="419" spans="1:19" ht="15.75">
      <c r="A419" s="13">
        <v>54270</v>
      </c>
      <c r="B419" s="8">
        <f>CHOOSE( CONTROL!$C$32, 12.1882, 12.1859) * CHOOSE(CONTROL!$C$15, $D$11, 100%, $F$11)</f>
        <v>12.1882</v>
      </c>
      <c r="C419" s="8">
        <f>CHOOSE( CONTROL!$C$32, 12.1988, 12.1965) * CHOOSE(CONTROL!$C$15, $D$11, 100%, $F$11)</f>
        <v>12.1988</v>
      </c>
      <c r="D419" s="8">
        <f>CHOOSE( CONTROL!$C$32, 12.233, 12.2307) * CHOOSE( CONTROL!$C$15, $D$11, 100%, $F$11)</f>
        <v>12.233000000000001</v>
      </c>
      <c r="E419" s="12">
        <f>CHOOSE( CONTROL!$C$32, 12.219, 12.2167) * CHOOSE( CONTROL!$C$15, $D$11, 100%, $F$11)</f>
        <v>12.218999999999999</v>
      </c>
      <c r="F419" s="4">
        <f>CHOOSE( CONTROL!$C$32, 12.9171, 12.9148) * CHOOSE(CONTROL!$C$15, $D$11, 100%, $F$11)</f>
        <v>12.9171</v>
      </c>
      <c r="G419" s="8">
        <f>CHOOSE( CONTROL!$C$32, 11.9122, 11.9099) * CHOOSE( CONTROL!$C$15, $D$11, 100%, $F$11)</f>
        <v>11.9122</v>
      </c>
      <c r="H419" s="4">
        <f>CHOOSE( CONTROL!$C$32, 12.8632, 12.861) * CHOOSE(CONTROL!$C$15, $D$11, 100%, $F$11)</f>
        <v>12.863200000000001</v>
      </c>
      <c r="I419" s="8">
        <f>CHOOSE( CONTROL!$C$32, 11.8078, 11.8056) * CHOOSE(CONTROL!$C$15, $D$11, 100%, $F$11)</f>
        <v>11.8078</v>
      </c>
      <c r="J419" s="4">
        <f>CHOOSE( CONTROL!$C$32, 11.6876, 11.6854) * CHOOSE(CONTROL!$C$15, $D$11, 100%, $F$11)</f>
        <v>11.6876</v>
      </c>
      <c r="K419" s="4"/>
      <c r="L419" s="9">
        <v>30.7165</v>
      </c>
      <c r="M419" s="9">
        <v>12.063700000000001</v>
      </c>
      <c r="N419" s="9">
        <v>4.9444999999999997</v>
      </c>
      <c r="O419" s="9">
        <v>0.37409999999999999</v>
      </c>
      <c r="P419" s="9">
        <v>1.2183999999999999</v>
      </c>
      <c r="Q419" s="9">
        <v>20.201499999999999</v>
      </c>
      <c r="R419" s="9"/>
      <c r="S419" s="11"/>
    </row>
    <row r="420" spans="1:19" ht="15.75">
      <c r="A420" s="13">
        <v>54301</v>
      </c>
      <c r="B420" s="8">
        <f>CHOOSE( CONTROL!$C$32, 11.2487, 11.2464) * CHOOSE(CONTROL!$C$15, $D$11, 100%, $F$11)</f>
        <v>11.248699999999999</v>
      </c>
      <c r="C420" s="8">
        <f>CHOOSE( CONTROL!$C$32, 11.2593, 11.257) * CHOOSE(CONTROL!$C$15, $D$11, 100%, $F$11)</f>
        <v>11.2593</v>
      </c>
      <c r="D420" s="8">
        <f>CHOOSE( CONTROL!$C$32, 11.2935, 11.2912) * CHOOSE( CONTROL!$C$15, $D$11, 100%, $F$11)</f>
        <v>11.2935</v>
      </c>
      <c r="E420" s="12">
        <f>CHOOSE( CONTROL!$C$32, 11.2795, 11.2772) * CHOOSE( CONTROL!$C$15, $D$11, 100%, $F$11)</f>
        <v>11.279500000000001</v>
      </c>
      <c r="F420" s="4">
        <f>CHOOSE( CONTROL!$C$32, 11.9776, 11.9753) * CHOOSE(CONTROL!$C$15, $D$11, 100%, $F$11)</f>
        <v>11.977600000000001</v>
      </c>
      <c r="G420" s="8">
        <f>CHOOSE( CONTROL!$C$32, 10.9937, 10.9915) * CHOOSE( CONTROL!$C$15, $D$11, 100%, $F$11)</f>
        <v>10.9937</v>
      </c>
      <c r="H420" s="4">
        <f>CHOOSE( CONTROL!$C$32, 11.9447, 11.9424) * CHOOSE(CONTROL!$C$15, $D$11, 100%, $F$11)</f>
        <v>11.944699999999999</v>
      </c>
      <c r="I420" s="8">
        <f>CHOOSE( CONTROL!$C$32, 10.9056, 10.9034) * CHOOSE(CONTROL!$C$15, $D$11, 100%, $F$11)</f>
        <v>10.9056</v>
      </c>
      <c r="J420" s="4">
        <f>CHOOSE( CONTROL!$C$32, 10.7855, 10.7833) * CHOOSE(CONTROL!$C$15, $D$11, 100%, $F$11)</f>
        <v>10.785500000000001</v>
      </c>
      <c r="K420" s="4"/>
      <c r="L420" s="9">
        <v>30.7165</v>
      </c>
      <c r="M420" s="9">
        <v>12.063700000000001</v>
      </c>
      <c r="N420" s="9">
        <v>4.9444999999999997</v>
      </c>
      <c r="O420" s="9">
        <v>0.37409999999999999</v>
      </c>
      <c r="P420" s="9">
        <v>1.2183999999999999</v>
      </c>
      <c r="Q420" s="9">
        <v>20.201499999999999</v>
      </c>
      <c r="R420" s="9"/>
      <c r="S420" s="11"/>
    </row>
    <row r="421" spans="1:19" ht="15.75">
      <c r="A421" s="13">
        <v>54331</v>
      </c>
      <c r="B421" s="8">
        <f>CHOOSE( CONTROL!$C$32, 11.0134, 11.0111) * CHOOSE(CONTROL!$C$15, $D$11, 100%, $F$11)</f>
        <v>11.013400000000001</v>
      </c>
      <c r="C421" s="8">
        <f>CHOOSE( CONTROL!$C$32, 11.024, 11.0217) * CHOOSE(CONTROL!$C$15, $D$11, 100%, $F$11)</f>
        <v>11.023999999999999</v>
      </c>
      <c r="D421" s="8">
        <f>CHOOSE( CONTROL!$C$32, 11.0582, 11.0559) * CHOOSE( CONTROL!$C$15, $D$11, 100%, $F$11)</f>
        <v>11.058199999999999</v>
      </c>
      <c r="E421" s="12">
        <f>CHOOSE( CONTROL!$C$32, 11.0442, 11.0419) * CHOOSE( CONTROL!$C$15, $D$11, 100%, $F$11)</f>
        <v>11.0442</v>
      </c>
      <c r="F421" s="4">
        <f>CHOOSE( CONTROL!$C$32, 11.7424, 11.7401) * CHOOSE(CONTROL!$C$15, $D$11, 100%, $F$11)</f>
        <v>11.7424</v>
      </c>
      <c r="G421" s="8">
        <f>CHOOSE( CONTROL!$C$32, 10.7637, 10.7614) * CHOOSE( CONTROL!$C$15, $D$11, 100%, $F$11)</f>
        <v>10.7637</v>
      </c>
      <c r="H421" s="4">
        <f>CHOOSE( CONTROL!$C$32, 11.7146, 11.7124) * CHOOSE(CONTROL!$C$15, $D$11, 100%, $F$11)</f>
        <v>11.714600000000001</v>
      </c>
      <c r="I421" s="8">
        <f>CHOOSE( CONTROL!$C$32, 10.6795, 10.6773) * CHOOSE(CONTROL!$C$15, $D$11, 100%, $F$11)</f>
        <v>10.679500000000001</v>
      </c>
      <c r="J421" s="4">
        <f>CHOOSE( CONTROL!$C$32, 10.5597, 10.5574) * CHOOSE(CONTROL!$C$15, $D$11, 100%, $F$11)</f>
        <v>10.559699999999999</v>
      </c>
      <c r="K421" s="4"/>
      <c r="L421" s="9">
        <v>29.7257</v>
      </c>
      <c r="M421" s="9">
        <v>11.6745</v>
      </c>
      <c r="N421" s="9">
        <v>4.7850000000000001</v>
      </c>
      <c r="O421" s="9">
        <v>0.36199999999999999</v>
      </c>
      <c r="P421" s="9">
        <v>1.1791</v>
      </c>
      <c r="Q421" s="9">
        <v>19.549800000000001</v>
      </c>
      <c r="R421" s="9"/>
      <c r="S421" s="11"/>
    </row>
    <row r="422" spans="1:19" ht="15.75">
      <c r="A422" s="13">
        <v>54362</v>
      </c>
      <c r="B422" s="8">
        <f>11.4997 * CHOOSE(CONTROL!$C$15, $D$11, 100%, $F$11)</f>
        <v>11.499700000000001</v>
      </c>
      <c r="C422" s="8">
        <f>11.5105 * CHOOSE(CONTROL!$C$15, $D$11, 100%, $F$11)</f>
        <v>11.5105</v>
      </c>
      <c r="D422" s="8">
        <f>11.5459 * CHOOSE( CONTROL!$C$15, $D$11, 100%, $F$11)</f>
        <v>11.5459</v>
      </c>
      <c r="E422" s="12">
        <f>11.5331 * CHOOSE( CONTROL!$C$15, $D$11, 100%, $F$11)</f>
        <v>11.533099999999999</v>
      </c>
      <c r="F422" s="4">
        <f>12.2286 * CHOOSE(CONTROL!$C$15, $D$11, 100%, $F$11)</f>
        <v>12.2286</v>
      </c>
      <c r="G422" s="8">
        <f>11.2388 * CHOOSE( CONTROL!$C$15, $D$11, 100%, $F$11)</f>
        <v>11.238799999999999</v>
      </c>
      <c r="H422" s="4">
        <f>12.19 * CHOOSE(CONTROL!$C$15, $D$11, 100%, $F$11)</f>
        <v>12.19</v>
      </c>
      <c r="I422" s="8">
        <f>11.1474 * CHOOSE(CONTROL!$C$15, $D$11, 100%, $F$11)</f>
        <v>11.147399999999999</v>
      </c>
      <c r="J422" s="4">
        <f>11.0264 * CHOOSE(CONTROL!$C$15, $D$11, 100%, $F$11)</f>
        <v>11.026400000000001</v>
      </c>
      <c r="K422" s="4"/>
      <c r="L422" s="9">
        <v>31.095300000000002</v>
      </c>
      <c r="M422" s="9">
        <v>12.063700000000001</v>
      </c>
      <c r="N422" s="9">
        <v>4.9444999999999997</v>
      </c>
      <c r="O422" s="9">
        <v>0.37409999999999999</v>
      </c>
      <c r="P422" s="9">
        <v>1.2183999999999999</v>
      </c>
      <c r="Q422" s="9">
        <v>20.201499999999999</v>
      </c>
      <c r="R422" s="9"/>
      <c r="S422" s="11"/>
    </row>
    <row r="423" spans="1:19" ht="15.75">
      <c r="A423" s="13">
        <v>54392</v>
      </c>
      <c r="B423" s="8">
        <f>12.4014 * CHOOSE(CONTROL!$C$15, $D$11, 100%, $F$11)</f>
        <v>12.401400000000001</v>
      </c>
      <c r="C423" s="8">
        <f>12.4122 * CHOOSE(CONTROL!$C$15, $D$11, 100%, $F$11)</f>
        <v>12.4122</v>
      </c>
      <c r="D423" s="8">
        <f>12.3882 * CHOOSE( CONTROL!$C$15, $D$11, 100%, $F$11)</f>
        <v>12.388199999999999</v>
      </c>
      <c r="E423" s="12">
        <f>12.3958 * CHOOSE( CONTROL!$C$15, $D$11, 100%, $F$11)</f>
        <v>12.395799999999999</v>
      </c>
      <c r="F423" s="4">
        <f>13.0625 * CHOOSE(CONTROL!$C$15, $D$11, 100%, $F$11)</f>
        <v>13.0625</v>
      </c>
      <c r="G423" s="8">
        <f>12.1203 * CHOOSE( CONTROL!$C$15, $D$11, 100%, $F$11)</f>
        <v>12.1203</v>
      </c>
      <c r="H423" s="4">
        <f>13.0053 * CHOOSE(CONTROL!$C$15, $D$11, 100%, $F$11)</f>
        <v>13.0053</v>
      </c>
      <c r="I423" s="8">
        <f>12.0569 * CHOOSE(CONTROL!$C$15, $D$11, 100%, $F$11)</f>
        <v>12.056900000000001</v>
      </c>
      <c r="J423" s="4">
        <f>11.8921 * CHOOSE(CONTROL!$C$15, $D$11, 100%, $F$11)</f>
        <v>11.892099999999999</v>
      </c>
      <c r="K423" s="4"/>
      <c r="L423" s="9">
        <v>28.360600000000002</v>
      </c>
      <c r="M423" s="9">
        <v>11.6745</v>
      </c>
      <c r="N423" s="9">
        <v>4.7850000000000001</v>
      </c>
      <c r="O423" s="9">
        <v>0.36199999999999999</v>
      </c>
      <c r="P423" s="9">
        <v>1.2509999999999999</v>
      </c>
      <c r="Q423" s="9">
        <v>19.549800000000001</v>
      </c>
      <c r="R423" s="9"/>
      <c r="S423" s="11"/>
    </row>
    <row r="424" spans="1:19" ht="15.75">
      <c r="A424" s="13">
        <v>54423</v>
      </c>
      <c r="B424" s="8">
        <f>12.3789 * CHOOSE(CONTROL!$C$15, $D$11, 100%, $F$11)</f>
        <v>12.3789</v>
      </c>
      <c r="C424" s="8">
        <f>12.3896 * CHOOSE(CONTROL!$C$15, $D$11, 100%, $F$11)</f>
        <v>12.3896</v>
      </c>
      <c r="D424" s="8">
        <f>12.3674 * CHOOSE( CONTROL!$C$15, $D$11, 100%, $F$11)</f>
        <v>12.3674</v>
      </c>
      <c r="E424" s="12">
        <f>12.3744 * CHOOSE( CONTROL!$C$15, $D$11, 100%, $F$11)</f>
        <v>12.3744</v>
      </c>
      <c r="F424" s="4">
        <f>13.04 * CHOOSE(CONTROL!$C$15, $D$11, 100%, $F$11)</f>
        <v>13.04</v>
      </c>
      <c r="G424" s="8">
        <f>12.0995 * CHOOSE( CONTROL!$C$15, $D$11, 100%, $F$11)</f>
        <v>12.099500000000001</v>
      </c>
      <c r="H424" s="4">
        <f>12.9833 * CHOOSE(CONTROL!$C$15, $D$11, 100%, $F$11)</f>
        <v>12.9833</v>
      </c>
      <c r="I424" s="8">
        <f>12.0404 * CHOOSE(CONTROL!$C$15, $D$11, 100%, $F$11)</f>
        <v>12.0404</v>
      </c>
      <c r="J424" s="4">
        <f>11.8705 * CHOOSE(CONTROL!$C$15, $D$11, 100%, $F$11)</f>
        <v>11.8705</v>
      </c>
      <c r="K424" s="4"/>
      <c r="L424" s="9">
        <v>29.306000000000001</v>
      </c>
      <c r="M424" s="9">
        <v>12.063700000000001</v>
      </c>
      <c r="N424" s="9">
        <v>4.9444999999999997</v>
      </c>
      <c r="O424" s="9">
        <v>0.37409999999999999</v>
      </c>
      <c r="P424" s="9">
        <v>1.2927</v>
      </c>
      <c r="Q424" s="9">
        <v>20.201499999999999</v>
      </c>
      <c r="R424" s="9"/>
      <c r="S424" s="11"/>
    </row>
    <row r="425" spans="1:19" ht="15.75">
      <c r="A425" s="13">
        <v>54454</v>
      </c>
      <c r="B425" s="8">
        <f>12.7436 * CHOOSE(CONTROL!$C$15, $D$11, 100%, $F$11)</f>
        <v>12.743600000000001</v>
      </c>
      <c r="C425" s="8">
        <f>12.7543 * CHOOSE(CONTROL!$C$15, $D$11, 100%, $F$11)</f>
        <v>12.754300000000001</v>
      </c>
      <c r="D425" s="8">
        <f>12.7359 * CHOOSE( CONTROL!$C$15, $D$11, 100%, $F$11)</f>
        <v>12.735900000000001</v>
      </c>
      <c r="E425" s="12">
        <f>12.7415 * CHOOSE( CONTROL!$C$15, $D$11, 100%, $F$11)</f>
        <v>12.7415</v>
      </c>
      <c r="F425" s="4">
        <f>13.4047 * CHOOSE(CONTROL!$C$15, $D$11, 100%, $F$11)</f>
        <v>13.4047</v>
      </c>
      <c r="G425" s="8">
        <f>12.4517 * CHOOSE( CONTROL!$C$15, $D$11, 100%, $F$11)</f>
        <v>12.451700000000001</v>
      </c>
      <c r="H425" s="4">
        <f>13.3399 * CHOOSE(CONTROL!$C$15, $D$11, 100%, $F$11)</f>
        <v>13.3399</v>
      </c>
      <c r="I425" s="8">
        <f>12.3461 * CHOOSE(CONTROL!$C$15, $D$11, 100%, $F$11)</f>
        <v>12.3461</v>
      </c>
      <c r="J425" s="4">
        <f>12.2206 * CHOOSE(CONTROL!$C$15, $D$11, 100%, $F$11)</f>
        <v>12.220599999999999</v>
      </c>
      <c r="K425" s="4"/>
      <c r="L425" s="9">
        <v>29.306000000000001</v>
      </c>
      <c r="M425" s="9">
        <v>12.063700000000001</v>
      </c>
      <c r="N425" s="9">
        <v>4.9444999999999997</v>
      </c>
      <c r="O425" s="9">
        <v>0.37409999999999999</v>
      </c>
      <c r="P425" s="9">
        <v>1.2927</v>
      </c>
      <c r="Q425" s="9">
        <v>20.136399999999998</v>
      </c>
      <c r="R425" s="9"/>
      <c r="S425" s="11"/>
    </row>
    <row r="426" spans="1:19" ht="15.75">
      <c r="A426" s="13">
        <v>54482</v>
      </c>
      <c r="B426" s="8">
        <f>11.9207 * CHOOSE(CONTROL!$C$15, $D$11, 100%, $F$11)</f>
        <v>11.9207</v>
      </c>
      <c r="C426" s="8">
        <f>11.9315 * CHOOSE(CONTROL!$C$15, $D$11, 100%, $F$11)</f>
        <v>11.9315</v>
      </c>
      <c r="D426" s="8">
        <f>11.9129 * CHOOSE( CONTROL!$C$15, $D$11, 100%, $F$11)</f>
        <v>11.9129</v>
      </c>
      <c r="E426" s="12">
        <f>11.9186 * CHOOSE( CONTROL!$C$15, $D$11, 100%, $F$11)</f>
        <v>11.9186</v>
      </c>
      <c r="F426" s="4">
        <f>12.5818 * CHOOSE(CONTROL!$C$15, $D$11, 100%, $F$11)</f>
        <v>12.581799999999999</v>
      </c>
      <c r="G426" s="8">
        <f>11.6471 * CHOOSE( CONTROL!$C$15, $D$11, 100%, $F$11)</f>
        <v>11.6471</v>
      </c>
      <c r="H426" s="4">
        <f>12.5353 * CHOOSE(CONTROL!$C$15, $D$11, 100%, $F$11)</f>
        <v>12.535299999999999</v>
      </c>
      <c r="I426" s="8">
        <f>11.5552 * CHOOSE(CONTROL!$C$15, $D$11, 100%, $F$11)</f>
        <v>11.555199999999999</v>
      </c>
      <c r="J426" s="4">
        <f>11.4306 * CHOOSE(CONTROL!$C$15, $D$11, 100%, $F$11)</f>
        <v>11.4306</v>
      </c>
      <c r="K426" s="4"/>
      <c r="L426" s="9">
        <v>26.469899999999999</v>
      </c>
      <c r="M426" s="9">
        <v>10.8962</v>
      </c>
      <c r="N426" s="9">
        <v>4.4660000000000002</v>
      </c>
      <c r="O426" s="9">
        <v>0.33789999999999998</v>
      </c>
      <c r="P426" s="9">
        <v>1.1676</v>
      </c>
      <c r="Q426" s="9">
        <v>18.1877</v>
      </c>
      <c r="R426" s="9"/>
      <c r="S426" s="11"/>
    </row>
    <row r="427" spans="1:19" ht="15.75">
      <c r="A427" s="13">
        <v>54513</v>
      </c>
      <c r="B427" s="8">
        <f>11.6673 * CHOOSE(CONTROL!$C$15, $D$11, 100%, $F$11)</f>
        <v>11.667299999999999</v>
      </c>
      <c r="C427" s="8">
        <f>11.678 * CHOOSE(CONTROL!$C$15, $D$11, 100%, $F$11)</f>
        <v>11.678000000000001</v>
      </c>
      <c r="D427" s="8">
        <f>11.659 * CHOOSE( CONTROL!$C$15, $D$11, 100%, $F$11)</f>
        <v>11.659000000000001</v>
      </c>
      <c r="E427" s="12">
        <f>11.6648 * CHOOSE( CONTROL!$C$15, $D$11, 100%, $F$11)</f>
        <v>11.6648</v>
      </c>
      <c r="F427" s="4">
        <f>12.3284 * CHOOSE(CONTROL!$C$15, $D$11, 100%, $F$11)</f>
        <v>12.3284</v>
      </c>
      <c r="G427" s="8">
        <f>11.3989 * CHOOSE( CONTROL!$C$15, $D$11, 100%, $F$11)</f>
        <v>11.398899999999999</v>
      </c>
      <c r="H427" s="4">
        <f>12.2876 * CHOOSE(CONTROL!$C$15, $D$11, 100%, $F$11)</f>
        <v>12.287599999999999</v>
      </c>
      <c r="I427" s="8">
        <f>11.3102 * CHOOSE(CONTROL!$C$15, $D$11, 100%, $F$11)</f>
        <v>11.3102</v>
      </c>
      <c r="J427" s="4">
        <f>11.1873 * CHOOSE(CONTROL!$C$15, $D$11, 100%, $F$11)</f>
        <v>11.1873</v>
      </c>
      <c r="K427" s="4"/>
      <c r="L427" s="9">
        <v>29.306000000000001</v>
      </c>
      <c r="M427" s="9">
        <v>12.063700000000001</v>
      </c>
      <c r="N427" s="9">
        <v>4.9444999999999997</v>
      </c>
      <c r="O427" s="9">
        <v>0.37409999999999999</v>
      </c>
      <c r="P427" s="9">
        <v>1.2927</v>
      </c>
      <c r="Q427" s="9">
        <v>20.136399999999998</v>
      </c>
      <c r="R427" s="9"/>
      <c r="S427" s="11"/>
    </row>
    <row r="428" spans="1:19" ht="15.75">
      <c r="A428" s="13">
        <v>54543</v>
      </c>
      <c r="B428" s="8">
        <f>11.8443 * CHOOSE(CONTROL!$C$15, $D$11, 100%, $F$11)</f>
        <v>11.8443</v>
      </c>
      <c r="C428" s="8">
        <f>11.8551 * CHOOSE(CONTROL!$C$15, $D$11, 100%, $F$11)</f>
        <v>11.8551</v>
      </c>
      <c r="D428" s="8">
        <f>11.8899 * CHOOSE( CONTROL!$C$15, $D$11, 100%, $F$11)</f>
        <v>11.889900000000001</v>
      </c>
      <c r="E428" s="12">
        <f>11.8772 * CHOOSE( CONTROL!$C$15, $D$11, 100%, $F$11)</f>
        <v>11.8772</v>
      </c>
      <c r="F428" s="4">
        <f>12.5732 * CHOOSE(CONTROL!$C$15, $D$11, 100%, $F$11)</f>
        <v>12.5732</v>
      </c>
      <c r="G428" s="8">
        <f>11.5748 * CHOOSE( CONTROL!$C$15, $D$11, 100%, $F$11)</f>
        <v>11.5748</v>
      </c>
      <c r="H428" s="4">
        <f>12.5269 * CHOOSE(CONTROL!$C$15, $D$11, 100%, $F$11)</f>
        <v>12.526899999999999</v>
      </c>
      <c r="I428" s="8">
        <f>11.4756 * CHOOSE(CONTROL!$C$15, $D$11, 100%, $F$11)</f>
        <v>11.4756</v>
      </c>
      <c r="J428" s="4">
        <f>11.3573 * CHOOSE(CONTROL!$C$15, $D$11, 100%, $F$11)</f>
        <v>11.3573</v>
      </c>
      <c r="K428" s="4"/>
      <c r="L428" s="9">
        <v>30.092199999999998</v>
      </c>
      <c r="M428" s="9">
        <v>11.6745</v>
      </c>
      <c r="N428" s="9">
        <v>4.7850000000000001</v>
      </c>
      <c r="O428" s="9">
        <v>0.36199999999999999</v>
      </c>
      <c r="P428" s="9">
        <v>1.1791</v>
      </c>
      <c r="Q428" s="9">
        <v>19.486799999999999</v>
      </c>
      <c r="R428" s="9"/>
      <c r="S428" s="11"/>
    </row>
    <row r="429" spans="1:19" ht="15.75">
      <c r="A429" s="13">
        <v>54574</v>
      </c>
      <c r="B429" s="8">
        <f>CHOOSE( CONTROL!$C$32, 12.1617, 12.1594) * CHOOSE(CONTROL!$C$15, $D$11, 100%, $F$11)</f>
        <v>12.1617</v>
      </c>
      <c r="C429" s="8">
        <f>CHOOSE( CONTROL!$C$32, 12.1723, 12.17) * CHOOSE(CONTROL!$C$15, $D$11, 100%, $F$11)</f>
        <v>12.1723</v>
      </c>
      <c r="D429" s="8">
        <f>CHOOSE( CONTROL!$C$32, 12.2061, 12.2038) * CHOOSE( CONTROL!$C$15, $D$11, 100%, $F$11)</f>
        <v>12.206099999999999</v>
      </c>
      <c r="E429" s="12">
        <f>CHOOSE( CONTROL!$C$32, 12.1922, 12.1899) * CHOOSE( CONTROL!$C$15, $D$11, 100%, $F$11)</f>
        <v>12.1922</v>
      </c>
      <c r="F429" s="4">
        <f>CHOOSE( CONTROL!$C$32, 12.8907, 12.8884) * CHOOSE(CONTROL!$C$15, $D$11, 100%, $F$11)</f>
        <v>12.890700000000001</v>
      </c>
      <c r="G429" s="8">
        <f>CHOOSE( CONTROL!$C$32, 11.8857, 11.8835) * CHOOSE( CONTROL!$C$15, $D$11, 100%, $F$11)</f>
        <v>11.8857</v>
      </c>
      <c r="H429" s="4">
        <f>CHOOSE( CONTROL!$C$32, 12.8373, 12.8351) * CHOOSE(CONTROL!$C$15, $D$11, 100%, $F$11)</f>
        <v>12.837300000000001</v>
      </c>
      <c r="I429" s="8">
        <f>CHOOSE( CONTROL!$C$32, 11.7807, 11.7784) * CHOOSE(CONTROL!$C$15, $D$11, 100%, $F$11)</f>
        <v>11.7807</v>
      </c>
      <c r="J429" s="4">
        <f>CHOOSE( CONTROL!$C$32, 11.6621, 11.6599) * CHOOSE(CONTROL!$C$15, $D$11, 100%, $F$11)</f>
        <v>11.662100000000001</v>
      </c>
      <c r="K429" s="4"/>
      <c r="L429" s="9">
        <v>30.7165</v>
      </c>
      <c r="M429" s="9">
        <v>12.063700000000001</v>
      </c>
      <c r="N429" s="9">
        <v>4.9444999999999997</v>
      </c>
      <c r="O429" s="9">
        <v>0.37409999999999999</v>
      </c>
      <c r="P429" s="9">
        <v>1.2183999999999999</v>
      </c>
      <c r="Q429" s="9">
        <v>20.136399999999998</v>
      </c>
      <c r="R429" s="9"/>
      <c r="S429" s="11"/>
    </row>
    <row r="430" spans="1:19" ht="15.75">
      <c r="A430" s="13">
        <v>54604</v>
      </c>
      <c r="B430" s="8">
        <f>CHOOSE( CONTROL!$C$32, 11.9665, 11.9642) * CHOOSE(CONTROL!$C$15, $D$11, 100%, $F$11)</f>
        <v>11.9665</v>
      </c>
      <c r="C430" s="8">
        <f>CHOOSE( CONTROL!$C$32, 11.977, 11.9747) * CHOOSE(CONTROL!$C$15, $D$11, 100%, $F$11)</f>
        <v>11.977</v>
      </c>
      <c r="D430" s="8">
        <f>CHOOSE( CONTROL!$C$32, 12.011, 12.0087) * CHOOSE( CONTROL!$C$15, $D$11, 100%, $F$11)</f>
        <v>12.010999999999999</v>
      </c>
      <c r="E430" s="12">
        <f>CHOOSE( CONTROL!$C$32, 11.9971, 11.9948) * CHOOSE( CONTROL!$C$15, $D$11, 100%, $F$11)</f>
        <v>11.9971</v>
      </c>
      <c r="F430" s="4">
        <f>CHOOSE( CONTROL!$C$32, 12.6954, 12.6931) * CHOOSE(CONTROL!$C$15, $D$11, 100%, $F$11)</f>
        <v>12.695399999999999</v>
      </c>
      <c r="G430" s="8">
        <f>CHOOSE( CONTROL!$C$32, 11.6951, 11.6928) * CHOOSE( CONTROL!$C$15, $D$11, 100%, $F$11)</f>
        <v>11.6951</v>
      </c>
      <c r="H430" s="4">
        <f>CHOOSE( CONTROL!$C$32, 12.6464, 12.6442) * CHOOSE(CONTROL!$C$15, $D$11, 100%, $F$11)</f>
        <v>12.6464</v>
      </c>
      <c r="I430" s="8">
        <f>CHOOSE( CONTROL!$C$32, 11.5938, 11.5916) * CHOOSE(CONTROL!$C$15, $D$11, 100%, $F$11)</f>
        <v>11.5938</v>
      </c>
      <c r="J430" s="4">
        <f>CHOOSE( CONTROL!$C$32, 11.4747, 11.4725) * CHOOSE(CONTROL!$C$15, $D$11, 100%, $F$11)</f>
        <v>11.4747</v>
      </c>
      <c r="K430" s="4"/>
      <c r="L430" s="9">
        <v>29.7257</v>
      </c>
      <c r="M430" s="9">
        <v>11.6745</v>
      </c>
      <c r="N430" s="9">
        <v>4.7850000000000001</v>
      </c>
      <c r="O430" s="9">
        <v>0.36199999999999999</v>
      </c>
      <c r="P430" s="9">
        <v>1.1791</v>
      </c>
      <c r="Q430" s="9">
        <v>19.486799999999999</v>
      </c>
      <c r="R430" s="9"/>
      <c r="S430" s="11"/>
    </row>
    <row r="431" spans="1:19" ht="15.75">
      <c r="A431" s="13">
        <v>54635</v>
      </c>
      <c r="B431" s="8">
        <f>CHOOSE( CONTROL!$C$32, 12.4806, 12.4783) * CHOOSE(CONTROL!$C$15, $D$11, 100%, $F$11)</f>
        <v>12.480600000000001</v>
      </c>
      <c r="C431" s="8">
        <f>CHOOSE( CONTROL!$C$32, 12.4912, 12.4889) * CHOOSE(CONTROL!$C$15, $D$11, 100%, $F$11)</f>
        <v>12.491199999999999</v>
      </c>
      <c r="D431" s="8">
        <f>CHOOSE( CONTROL!$C$32, 12.5254, 12.5231) * CHOOSE( CONTROL!$C$15, $D$11, 100%, $F$11)</f>
        <v>12.525399999999999</v>
      </c>
      <c r="E431" s="12">
        <f>CHOOSE( CONTROL!$C$32, 12.5114, 12.5091) * CHOOSE( CONTROL!$C$15, $D$11, 100%, $F$11)</f>
        <v>12.5114</v>
      </c>
      <c r="F431" s="4">
        <f>CHOOSE( CONTROL!$C$32, 13.2096, 13.2073) * CHOOSE(CONTROL!$C$15, $D$11, 100%, $F$11)</f>
        <v>13.2096</v>
      </c>
      <c r="G431" s="8">
        <f>CHOOSE( CONTROL!$C$32, 12.1981, 12.1959) * CHOOSE( CONTROL!$C$15, $D$11, 100%, $F$11)</f>
        <v>12.1981</v>
      </c>
      <c r="H431" s="4">
        <f>CHOOSE( CONTROL!$C$32, 13.1491, 13.1469) * CHOOSE(CONTROL!$C$15, $D$11, 100%, $F$11)</f>
        <v>13.149100000000001</v>
      </c>
      <c r="I431" s="8">
        <f>CHOOSE( CONTROL!$C$32, 12.0887, 12.0865) * CHOOSE(CONTROL!$C$15, $D$11, 100%, $F$11)</f>
        <v>12.088699999999999</v>
      </c>
      <c r="J431" s="4">
        <f>CHOOSE( CONTROL!$C$32, 11.9683, 11.9661) * CHOOSE(CONTROL!$C$15, $D$11, 100%, $F$11)</f>
        <v>11.968299999999999</v>
      </c>
      <c r="K431" s="4"/>
      <c r="L431" s="9">
        <v>30.7165</v>
      </c>
      <c r="M431" s="9">
        <v>12.063700000000001</v>
      </c>
      <c r="N431" s="9">
        <v>4.9444999999999997</v>
      </c>
      <c r="O431" s="9">
        <v>0.37409999999999999</v>
      </c>
      <c r="P431" s="9">
        <v>1.2183999999999999</v>
      </c>
      <c r="Q431" s="9">
        <v>20.136399999999998</v>
      </c>
      <c r="R431" s="9"/>
      <c r="S431" s="11"/>
    </row>
    <row r="432" spans="1:19" ht="15.75">
      <c r="A432" s="13">
        <v>54666</v>
      </c>
      <c r="B432" s="8">
        <f>CHOOSE( CONTROL!$C$32, 11.5186, 11.5163) * CHOOSE(CONTROL!$C$15, $D$11, 100%, $F$11)</f>
        <v>11.518599999999999</v>
      </c>
      <c r="C432" s="8">
        <f>CHOOSE( CONTROL!$C$32, 11.5291, 11.5268) * CHOOSE(CONTROL!$C$15, $D$11, 100%, $F$11)</f>
        <v>11.5291</v>
      </c>
      <c r="D432" s="8">
        <f>CHOOSE( CONTROL!$C$32, 11.5634, 11.5611) * CHOOSE( CONTROL!$C$15, $D$11, 100%, $F$11)</f>
        <v>11.5634</v>
      </c>
      <c r="E432" s="12">
        <f>CHOOSE( CONTROL!$C$32, 11.5494, 11.5471) * CHOOSE( CONTROL!$C$15, $D$11, 100%, $F$11)</f>
        <v>11.5494</v>
      </c>
      <c r="F432" s="4">
        <f>CHOOSE( CONTROL!$C$32, 12.2475, 12.2452) * CHOOSE(CONTROL!$C$15, $D$11, 100%, $F$11)</f>
        <v>12.2475</v>
      </c>
      <c r="G432" s="8">
        <f>CHOOSE( CONTROL!$C$32, 11.2576, 11.2553) * CHOOSE( CONTROL!$C$15, $D$11, 100%, $F$11)</f>
        <v>11.2576</v>
      </c>
      <c r="H432" s="4">
        <f>CHOOSE( CONTROL!$C$32, 12.2085, 12.2062) * CHOOSE(CONTROL!$C$15, $D$11, 100%, $F$11)</f>
        <v>12.208500000000001</v>
      </c>
      <c r="I432" s="8">
        <f>CHOOSE( CONTROL!$C$32, 11.1649, 11.1627) * CHOOSE(CONTROL!$C$15, $D$11, 100%, $F$11)</f>
        <v>11.164899999999999</v>
      </c>
      <c r="J432" s="4">
        <f>CHOOSE( CONTROL!$C$32, 11.0446, 11.0424) * CHOOSE(CONTROL!$C$15, $D$11, 100%, $F$11)</f>
        <v>11.044600000000001</v>
      </c>
      <c r="K432" s="4"/>
      <c r="L432" s="9">
        <v>30.7165</v>
      </c>
      <c r="M432" s="9">
        <v>12.063700000000001</v>
      </c>
      <c r="N432" s="9">
        <v>4.9444999999999997</v>
      </c>
      <c r="O432" s="9">
        <v>0.37409999999999999</v>
      </c>
      <c r="P432" s="9">
        <v>1.2183999999999999</v>
      </c>
      <c r="Q432" s="9">
        <v>20.136399999999998</v>
      </c>
      <c r="R432" s="9"/>
      <c r="S432" s="11"/>
    </row>
    <row r="433" spans="1:19" ht="15.75">
      <c r="A433" s="13">
        <v>54696</v>
      </c>
      <c r="B433" s="8">
        <f>CHOOSE( CONTROL!$C$32, 11.2776, 11.2753) * CHOOSE(CONTROL!$C$15, $D$11, 100%, $F$11)</f>
        <v>11.2776</v>
      </c>
      <c r="C433" s="8">
        <f>CHOOSE( CONTROL!$C$32, 11.2882, 11.2859) * CHOOSE(CONTROL!$C$15, $D$11, 100%, $F$11)</f>
        <v>11.2882</v>
      </c>
      <c r="D433" s="8">
        <f>CHOOSE( CONTROL!$C$32, 11.3224, 11.3201) * CHOOSE( CONTROL!$C$15, $D$11, 100%, $F$11)</f>
        <v>11.3224</v>
      </c>
      <c r="E433" s="12">
        <f>CHOOSE( CONTROL!$C$32, 11.3084, 11.3061) * CHOOSE( CONTROL!$C$15, $D$11, 100%, $F$11)</f>
        <v>11.308400000000001</v>
      </c>
      <c r="F433" s="4">
        <f>CHOOSE( CONTROL!$C$32, 12.0066, 12.0043) * CHOOSE(CONTROL!$C$15, $D$11, 100%, $F$11)</f>
        <v>12.006600000000001</v>
      </c>
      <c r="G433" s="8">
        <f>CHOOSE( CONTROL!$C$32, 11.022, 11.0197) * CHOOSE( CONTROL!$C$15, $D$11, 100%, $F$11)</f>
        <v>11.022</v>
      </c>
      <c r="H433" s="4">
        <f>CHOOSE( CONTROL!$C$32, 11.973, 11.9707) * CHOOSE(CONTROL!$C$15, $D$11, 100%, $F$11)</f>
        <v>11.973000000000001</v>
      </c>
      <c r="I433" s="8">
        <f>CHOOSE( CONTROL!$C$32, 10.9333, 10.9311) * CHOOSE(CONTROL!$C$15, $D$11, 100%, $F$11)</f>
        <v>10.933299999999999</v>
      </c>
      <c r="J433" s="4">
        <f>CHOOSE( CONTROL!$C$32, 10.8133, 10.8111) * CHOOSE(CONTROL!$C$15, $D$11, 100%, $F$11)</f>
        <v>10.8133</v>
      </c>
      <c r="K433" s="4"/>
      <c r="L433" s="9">
        <v>29.7257</v>
      </c>
      <c r="M433" s="9">
        <v>11.6745</v>
      </c>
      <c r="N433" s="9">
        <v>4.7850000000000001</v>
      </c>
      <c r="O433" s="9">
        <v>0.36199999999999999</v>
      </c>
      <c r="P433" s="9">
        <v>1.1791</v>
      </c>
      <c r="Q433" s="9">
        <v>19.486799999999999</v>
      </c>
      <c r="R433" s="9"/>
      <c r="S433" s="11"/>
    </row>
    <row r="434" spans="1:19" ht="15.75">
      <c r="A434" s="13">
        <v>54727</v>
      </c>
      <c r="B434" s="8">
        <f>11.7757 * CHOOSE(CONTROL!$C$15, $D$11, 100%, $F$11)</f>
        <v>11.775700000000001</v>
      </c>
      <c r="C434" s="8">
        <f>11.7864 * CHOOSE(CONTROL!$C$15, $D$11, 100%, $F$11)</f>
        <v>11.7864</v>
      </c>
      <c r="D434" s="8">
        <f>11.8218 * CHOOSE( CONTROL!$C$15, $D$11, 100%, $F$11)</f>
        <v>11.8218</v>
      </c>
      <c r="E434" s="12">
        <f>11.809 * CHOOSE( CONTROL!$C$15, $D$11, 100%, $F$11)</f>
        <v>11.808999999999999</v>
      </c>
      <c r="F434" s="4">
        <f>12.5045 * CHOOSE(CONTROL!$C$15, $D$11, 100%, $F$11)</f>
        <v>12.5045</v>
      </c>
      <c r="G434" s="8">
        <f>11.5086 * CHOOSE( CONTROL!$C$15, $D$11, 100%, $F$11)</f>
        <v>11.508599999999999</v>
      </c>
      <c r="H434" s="4">
        <f>12.4598 * CHOOSE(CONTROL!$C$15, $D$11, 100%, $F$11)</f>
        <v>12.4598</v>
      </c>
      <c r="I434" s="8">
        <f>11.4125 * CHOOSE(CONTROL!$C$15, $D$11, 100%, $F$11)</f>
        <v>11.4125</v>
      </c>
      <c r="J434" s="4">
        <f>11.2914 * CHOOSE(CONTROL!$C$15, $D$11, 100%, $F$11)</f>
        <v>11.291399999999999</v>
      </c>
      <c r="K434" s="4"/>
      <c r="L434" s="9">
        <v>31.095300000000002</v>
      </c>
      <c r="M434" s="9">
        <v>12.063700000000001</v>
      </c>
      <c r="N434" s="9">
        <v>4.9444999999999997</v>
      </c>
      <c r="O434" s="9">
        <v>0.37409999999999999</v>
      </c>
      <c r="P434" s="9">
        <v>1.2183999999999999</v>
      </c>
      <c r="Q434" s="9">
        <v>20.136399999999998</v>
      </c>
      <c r="R434" s="9"/>
      <c r="S434" s="11"/>
    </row>
    <row r="435" spans="1:19" ht="15.75">
      <c r="A435" s="13">
        <v>54757</v>
      </c>
      <c r="B435" s="8">
        <f>12.699 * CHOOSE(CONTROL!$C$15, $D$11, 100%, $F$11)</f>
        <v>12.699</v>
      </c>
      <c r="C435" s="8">
        <f>12.7098 * CHOOSE(CONTROL!$C$15, $D$11, 100%, $F$11)</f>
        <v>12.7098</v>
      </c>
      <c r="D435" s="8">
        <f>12.6858 * CHOOSE( CONTROL!$C$15, $D$11, 100%, $F$11)</f>
        <v>12.6858</v>
      </c>
      <c r="E435" s="12">
        <f>12.6934 * CHOOSE( CONTROL!$C$15, $D$11, 100%, $F$11)</f>
        <v>12.6934</v>
      </c>
      <c r="F435" s="4">
        <f>13.3601 * CHOOSE(CONTROL!$C$15, $D$11, 100%, $F$11)</f>
        <v>13.360099999999999</v>
      </c>
      <c r="G435" s="8">
        <f>12.4113 * CHOOSE( CONTROL!$C$15, $D$11, 100%, $F$11)</f>
        <v>12.411300000000001</v>
      </c>
      <c r="H435" s="4">
        <f>13.2963 * CHOOSE(CONTROL!$C$15, $D$11, 100%, $F$11)</f>
        <v>13.2963</v>
      </c>
      <c r="I435" s="8">
        <f>12.3427 * CHOOSE(CONTROL!$C$15, $D$11, 100%, $F$11)</f>
        <v>12.342700000000001</v>
      </c>
      <c r="J435" s="4">
        <f>12.1779 * CHOOSE(CONTROL!$C$15, $D$11, 100%, $F$11)</f>
        <v>12.177899999999999</v>
      </c>
      <c r="K435" s="4"/>
      <c r="L435" s="9">
        <v>28.360600000000002</v>
      </c>
      <c r="M435" s="9">
        <v>11.6745</v>
      </c>
      <c r="N435" s="9">
        <v>4.7850000000000001</v>
      </c>
      <c r="O435" s="9">
        <v>0.36199999999999999</v>
      </c>
      <c r="P435" s="9">
        <v>1.2509999999999999</v>
      </c>
      <c r="Q435" s="9">
        <v>19.486799999999999</v>
      </c>
      <c r="R435" s="9"/>
      <c r="S435" s="11"/>
    </row>
    <row r="436" spans="1:19" ht="15.75">
      <c r="A436" s="13">
        <v>54788</v>
      </c>
      <c r="B436" s="8">
        <f>12.6759 * CHOOSE(CONTROL!$C$15, $D$11, 100%, $F$11)</f>
        <v>12.6759</v>
      </c>
      <c r="C436" s="8">
        <f>12.6867 * CHOOSE(CONTROL!$C$15, $D$11, 100%, $F$11)</f>
        <v>12.6867</v>
      </c>
      <c r="D436" s="8">
        <f>12.6644 * CHOOSE( CONTROL!$C$15, $D$11, 100%, $F$11)</f>
        <v>12.664400000000001</v>
      </c>
      <c r="E436" s="12">
        <f>12.6714 * CHOOSE( CONTROL!$C$15, $D$11, 100%, $F$11)</f>
        <v>12.6714</v>
      </c>
      <c r="F436" s="4">
        <f>13.3371 * CHOOSE(CONTROL!$C$15, $D$11, 100%, $F$11)</f>
        <v>13.3371</v>
      </c>
      <c r="G436" s="8">
        <f>12.39 * CHOOSE( CONTROL!$C$15, $D$11, 100%, $F$11)</f>
        <v>12.39</v>
      </c>
      <c r="H436" s="4">
        <f>13.2738 * CHOOSE(CONTROL!$C$15, $D$11, 100%, $F$11)</f>
        <v>13.2738</v>
      </c>
      <c r="I436" s="8">
        <f>12.3258 * CHOOSE(CONTROL!$C$15, $D$11, 100%, $F$11)</f>
        <v>12.325799999999999</v>
      </c>
      <c r="J436" s="4">
        <f>12.1557 * CHOOSE(CONTROL!$C$15, $D$11, 100%, $F$11)</f>
        <v>12.1557</v>
      </c>
      <c r="K436" s="4"/>
      <c r="L436" s="9">
        <v>29.306000000000001</v>
      </c>
      <c r="M436" s="9">
        <v>12.063700000000001</v>
      </c>
      <c r="N436" s="9">
        <v>4.9444999999999997</v>
      </c>
      <c r="O436" s="9">
        <v>0.37409999999999999</v>
      </c>
      <c r="P436" s="9">
        <v>1.2927</v>
      </c>
      <c r="Q436" s="9">
        <v>20.136399999999998</v>
      </c>
      <c r="R436" s="9"/>
      <c r="S436" s="11"/>
    </row>
    <row r="437" spans="1:19" ht="15.75">
      <c r="A437" s="13">
        <v>54819</v>
      </c>
      <c r="B437" s="8">
        <f>13.0494 * CHOOSE(CONTROL!$C$15, $D$11, 100%, $F$11)</f>
        <v>13.0494</v>
      </c>
      <c r="C437" s="8">
        <f>13.0602 * CHOOSE(CONTROL!$C$15, $D$11, 100%, $F$11)</f>
        <v>13.0602</v>
      </c>
      <c r="D437" s="8">
        <f>13.0418 * CHOOSE( CONTROL!$C$15, $D$11, 100%, $F$11)</f>
        <v>13.0418</v>
      </c>
      <c r="E437" s="12">
        <f>13.0474 * CHOOSE( CONTROL!$C$15, $D$11, 100%, $F$11)</f>
        <v>13.0474</v>
      </c>
      <c r="F437" s="4">
        <f>13.7105 * CHOOSE(CONTROL!$C$15, $D$11, 100%, $F$11)</f>
        <v>13.7105</v>
      </c>
      <c r="G437" s="8">
        <f>12.7507 * CHOOSE( CONTROL!$C$15, $D$11, 100%, $F$11)</f>
        <v>12.7507</v>
      </c>
      <c r="H437" s="4">
        <f>13.6389 * CHOOSE(CONTROL!$C$15, $D$11, 100%, $F$11)</f>
        <v>13.6389</v>
      </c>
      <c r="I437" s="8">
        <f>12.6399 * CHOOSE(CONTROL!$C$15, $D$11, 100%, $F$11)</f>
        <v>12.639900000000001</v>
      </c>
      <c r="J437" s="4">
        <f>12.5143 * CHOOSE(CONTROL!$C$15, $D$11, 100%, $F$11)</f>
        <v>12.5143</v>
      </c>
      <c r="K437" s="4"/>
      <c r="L437" s="9">
        <v>29.306000000000001</v>
      </c>
      <c r="M437" s="9">
        <v>12.063700000000001</v>
      </c>
      <c r="N437" s="9">
        <v>4.9444999999999997</v>
      </c>
      <c r="O437" s="9">
        <v>0.37409999999999999</v>
      </c>
      <c r="P437" s="9">
        <v>1.2927</v>
      </c>
      <c r="Q437" s="9">
        <v>20.071300000000001</v>
      </c>
      <c r="R437" s="9"/>
      <c r="S437" s="11"/>
    </row>
    <row r="438" spans="1:19" ht="15.75">
      <c r="A438" s="13">
        <v>54847</v>
      </c>
      <c r="B438" s="8">
        <f>12.2068 * CHOOSE(CONTROL!$C$15, $D$11, 100%, $F$11)</f>
        <v>12.206799999999999</v>
      </c>
      <c r="C438" s="8">
        <f>12.2175 * CHOOSE(CONTROL!$C$15, $D$11, 100%, $F$11)</f>
        <v>12.217499999999999</v>
      </c>
      <c r="D438" s="8">
        <f>12.199 * CHOOSE( CONTROL!$C$15, $D$11, 100%, $F$11)</f>
        <v>12.199</v>
      </c>
      <c r="E438" s="12">
        <f>12.2046 * CHOOSE( CONTROL!$C$15, $D$11, 100%, $F$11)</f>
        <v>12.204599999999999</v>
      </c>
      <c r="F438" s="4">
        <f>12.8679 * CHOOSE(CONTROL!$C$15, $D$11, 100%, $F$11)</f>
        <v>12.867900000000001</v>
      </c>
      <c r="G438" s="8">
        <f>11.9267 * CHOOSE( CONTROL!$C$15, $D$11, 100%, $F$11)</f>
        <v>11.9267</v>
      </c>
      <c r="H438" s="4">
        <f>12.815 * CHOOSE(CONTROL!$C$15, $D$11, 100%, $F$11)</f>
        <v>12.815</v>
      </c>
      <c r="I438" s="8">
        <f>11.83 * CHOOSE(CONTROL!$C$15, $D$11, 100%, $F$11)</f>
        <v>11.83</v>
      </c>
      <c r="J438" s="4">
        <f>11.7052 * CHOOSE(CONTROL!$C$15, $D$11, 100%, $F$11)</f>
        <v>11.7052</v>
      </c>
      <c r="K438" s="4"/>
      <c r="L438" s="9">
        <v>26.469899999999999</v>
      </c>
      <c r="M438" s="9">
        <v>10.8962</v>
      </c>
      <c r="N438" s="9">
        <v>4.4660000000000002</v>
      </c>
      <c r="O438" s="9">
        <v>0.33789999999999998</v>
      </c>
      <c r="P438" s="9">
        <v>1.1676</v>
      </c>
      <c r="Q438" s="9">
        <v>18.128900000000002</v>
      </c>
      <c r="R438" s="9"/>
      <c r="S438" s="11"/>
    </row>
    <row r="439" spans="1:19" ht="15.75">
      <c r="A439" s="13">
        <v>54878</v>
      </c>
      <c r="B439" s="8">
        <f>11.9472 * CHOOSE(CONTROL!$C$15, $D$11, 100%, $F$11)</f>
        <v>11.9472</v>
      </c>
      <c r="C439" s="8">
        <f>11.958 * CHOOSE(CONTROL!$C$15, $D$11, 100%, $F$11)</f>
        <v>11.958</v>
      </c>
      <c r="D439" s="8">
        <f>11.9389 * CHOOSE( CONTROL!$C$15, $D$11, 100%, $F$11)</f>
        <v>11.9389</v>
      </c>
      <c r="E439" s="12">
        <f>11.9447 * CHOOSE( CONTROL!$C$15, $D$11, 100%, $F$11)</f>
        <v>11.944699999999999</v>
      </c>
      <c r="F439" s="4">
        <f>12.6083 * CHOOSE(CONTROL!$C$15, $D$11, 100%, $F$11)</f>
        <v>12.6083</v>
      </c>
      <c r="G439" s="8">
        <f>11.6726 * CHOOSE( CONTROL!$C$15, $D$11, 100%, $F$11)</f>
        <v>11.672599999999999</v>
      </c>
      <c r="H439" s="4">
        <f>12.5613 * CHOOSE(CONTROL!$C$15, $D$11, 100%, $F$11)</f>
        <v>12.561299999999999</v>
      </c>
      <c r="I439" s="8">
        <f>11.5791 * CHOOSE(CONTROL!$C$15, $D$11, 100%, $F$11)</f>
        <v>11.5791</v>
      </c>
      <c r="J439" s="4">
        <f>11.4561 * CHOOSE(CONTROL!$C$15, $D$11, 100%, $F$11)</f>
        <v>11.456099999999999</v>
      </c>
      <c r="K439" s="4"/>
      <c r="L439" s="9">
        <v>29.306000000000001</v>
      </c>
      <c r="M439" s="9">
        <v>12.063700000000001</v>
      </c>
      <c r="N439" s="9">
        <v>4.9444999999999997</v>
      </c>
      <c r="O439" s="9">
        <v>0.37409999999999999</v>
      </c>
      <c r="P439" s="9">
        <v>1.2927</v>
      </c>
      <c r="Q439" s="9">
        <v>20.071300000000001</v>
      </c>
      <c r="R439" s="9"/>
      <c r="S439" s="11"/>
    </row>
    <row r="440" spans="1:19" ht="15.75">
      <c r="A440" s="13">
        <v>54908</v>
      </c>
      <c r="B440" s="8">
        <f>12.1285 * CHOOSE(CONTROL!$C$15, $D$11, 100%, $F$11)</f>
        <v>12.128500000000001</v>
      </c>
      <c r="C440" s="8">
        <f>12.1393 * CHOOSE(CONTROL!$C$15, $D$11, 100%, $F$11)</f>
        <v>12.1393</v>
      </c>
      <c r="D440" s="8">
        <f>12.1741 * CHOOSE( CONTROL!$C$15, $D$11, 100%, $F$11)</f>
        <v>12.174099999999999</v>
      </c>
      <c r="E440" s="12">
        <f>12.1614 * CHOOSE( CONTROL!$C$15, $D$11, 100%, $F$11)</f>
        <v>12.1614</v>
      </c>
      <c r="F440" s="4">
        <f>12.8574 * CHOOSE(CONTROL!$C$15, $D$11, 100%, $F$11)</f>
        <v>12.8574</v>
      </c>
      <c r="G440" s="8">
        <f>11.8527 * CHOOSE( CONTROL!$C$15, $D$11, 100%, $F$11)</f>
        <v>11.8527</v>
      </c>
      <c r="H440" s="4">
        <f>12.8048 * CHOOSE(CONTROL!$C$15, $D$11, 100%, $F$11)</f>
        <v>12.8048</v>
      </c>
      <c r="I440" s="8">
        <f>11.7486 * CHOOSE(CONTROL!$C$15, $D$11, 100%, $F$11)</f>
        <v>11.7486</v>
      </c>
      <c r="J440" s="4">
        <f>11.6302 * CHOOSE(CONTROL!$C$15, $D$11, 100%, $F$11)</f>
        <v>11.6302</v>
      </c>
      <c r="K440" s="4"/>
      <c r="L440" s="9">
        <v>30.092199999999998</v>
      </c>
      <c r="M440" s="9">
        <v>11.6745</v>
      </c>
      <c r="N440" s="9">
        <v>4.7850000000000001</v>
      </c>
      <c r="O440" s="9">
        <v>0.36199999999999999</v>
      </c>
      <c r="P440" s="9">
        <v>1.1791</v>
      </c>
      <c r="Q440" s="9">
        <v>19.4238</v>
      </c>
      <c r="R440" s="9"/>
      <c r="S440" s="11"/>
    </row>
    <row r="441" spans="1:19" ht="15.75">
      <c r="A441" s="13">
        <v>54939</v>
      </c>
      <c r="B441" s="8">
        <f>CHOOSE( CONTROL!$C$32, 12.4535, 12.4512) * CHOOSE(CONTROL!$C$15, $D$11, 100%, $F$11)</f>
        <v>12.4535</v>
      </c>
      <c r="C441" s="8">
        <f>CHOOSE( CONTROL!$C$32, 12.4641, 12.4618) * CHOOSE(CONTROL!$C$15, $D$11, 100%, $F$11)</f>
        <v>12.4641</v>
      </c>
      <c r="D441" s="8">
        <f>CHOOSE( CONTROL!$C$32, 12.4979, 12.4956) * CHOOSE( CONTROL!$C$15, $D$11, 100%, $F$11)</f>
        <v>12.4979</v>
      </c>
      <c r="E441" s="12">
        <f>CHOOSE( CONTROL!$C$32, 12.484, 12.4817) * CHOOSE( CONTROL!$C$15, $D$11, 100%, $F$11)</f>
        <v>12.484</v>
      </c>
      <c r="F441" s="4">
        <f>CHOOSE( CONTROL!$C$32, 13.1825, 13.1802) * CHOOSE(CONTROL!$C$15, $D$11, 100%, $F$11)</f>
        <v>13.182499999999999</v>
      </c>
      <c r="G441" s="8">
        <f>CHOOSE( CONTROL!$C$32, 12.171, 12.1688) * CHOOSE( CONTROL!$C$15, $D$11, 100%, $F$11)</f>
        <v>12.170999999999999</v>
      </c>
      <c r="H441" s="4">
        <f>CHOOSE( CONTROL!$C$32, 13.1226, 13.1204) * CHOOSE(CONTROL!$C$15, $D$11, 100%, $F$11)</f>
        <v>13.1226</v>
      </c>
      <c r="I441" s="8">
        <f>CHOOSE( CONTROL!$C$32, 12.061, 12.0587) * CHOOSE(CONTROL!$C$15, $D$11, 100%, $F$11)</f>
        <v>12.061</v>
      </c>
      <c r="J441" s="4">
        <f>CHOOSE( CONTROL!$C$32, 11.9423, 11.9401) * CHOOSE(CONTROL!$C$15, $D$11, 100%, $F$11)</f>
        <v>11.942299999999999</v>
      </c>
      <c r="K441" s="4"/>
      <c r="L441" s="9">
        <v>30.7165</v>
      </c>
      <c r="M441" s="9">
        <v>12.063700000000001</v>
      </c>
      <c r="N441" s="9">
        <v>4.9444999999999997</v>
      </c>
      <c r="O441" s="9">
        <v>0.37409999999999999</v>
      </c>
      <c r="P441" s="9">
        <v>1.2183999999999999</v>
      </c>
      <c r="Q441" s="9">
        <v>20.071300000000001</v>
      </c>
      <c r="R441" s="9"/>
      <c r="S441" s="11"/>
    </row>
    <row r="442" spans="1:19" ht="15.75">
      <c r="A442" s="13">
        <v>54969</v>
      </c>
      <c r="B442" s="8">
        <f>CHOOSE( CONTROL!$C$32, 12.2536, 12.2513) * CHOOSE(CONTROL!$C$15, $D$11, 100%, $F$11)</f>
        <v>12.2536</v>
      </c>
      <c r="C442" s="8">
        <f>CHOOSE( CONTROL!$C$32, 12.2641, 12.2618) * CHOOSE(CONTROL!$C$15, $D$11, 100%, $F$11)</f>
        <v>12.264099999999999</v>
      </c>
      <c r="D442" s="8">
        <f>CHOOSE( CONTROL!$C$32, 12.2981, 12.2958) * CHOOSE( CONTROL!$C$15, $D$11, 100%, $F$11)</f>
        <v>12.2981</v>
      </c>
      <c r="E442" s="12">
        <f>CHOOSE( CONTROL!$C$32, 12.2842, 12.2819) * CHOOSE( CONTROL!$C$15, $D$11, 100%, $F$11)</f>
        <v>12.2842</v>
      </c>
      <c r="F442" s="4">
        <f>CHOOSE( CONTROL!$C$32, 12.9825, 12.9802) * CHOOSE(CONTROL!$C$15, $D$11, 100%, $F$11)</f>
        <v>12.9825</v>
      </c>
      <c r="G442" s="8">
        <f>CHOOSE( CONTROL!$C$32, 11.9758, 11.9735) * CHOOSE( CONTROL!$C$15, $D$11, 100%, $F$11)</f>
        <v>11.9758</v>
      </c>
      <c r="H442" s="4">
        <f>CHOOSE( CONTROL!$C$32, 12.9271, 12.9249) * CHOOSE(CONTROL!$C$15, $D$11, 100%, $F$11)</f>
        <v>12.927099999999999</v>
      </c>
      <c r="I442" s="8">
        <f>CHOOSE( CONTROL!$C$32, 11.8696, 11.8674) * CHOOSE(CONTROL!$C$15, $D$11, 100%, $F$11)</f>
        <v>11.8696</v>
      </c>
      <c r="J442" s="4">
        <f>CHOOSE( CONTROL!$C$32, 11.7503, 11.7481) * CHOOSE(CONTROL!$C$15, $D$11, 100%, $F$11)</f>
        <v>11.750299999999999</v>
      </c>
      <c r="K442" s="4"/>
      <c r="L442" s="9">
        <v>29.7257</v>
      </c>
      <c r="M442" s="9">
        <v>11.6745</v>
      </c>
      <c r="N442" s="9">
        <v>4.7850000000000001</v>
      </c>
      <c r="O442" s="9">
        <v>0.36199999999999999</v>
      </c>
      <c r="P442" s="9">
        <v>1.1791</v>
      </c>
      <c r="Q442" s="9">
        <v>19.4238</v>
      </c>
      <c r="R442" s="9"/>
      <c r="S442" s="11"/>
    </row>
    <row r="443" spans="1:19" ht="15.75">
      <c r="A443" s="13">
        <v>55000</v>
      </c>
      <c r="B443" s="8">
        <f>CHOOSE( CONTROL!$C$32, 12.7801, 12.7778) * CHOOSE(CONTROL!$C$15, $D$11, 100%, $F$11)</f>
        <v>12.780099999999999</v>
      </c>
      <c r="C443" s="8">
        <f>CHOOSE( CONTROL!$C$32, 12.7907, 12.7884) * CHOOSE(CONTROL!$C$15, $D$11, 100%, $F$11)</f>
        <v>12.790699999999999</v>
      </c>
      <c r="D443" s="8">
        <f>CHOOSE( CONTROL!$C$32, 12.8249, 12.8226) * CHOOSE( CONTROL!$C$15, $D$11, 100%, $F$11)</f>
        <v>12.8249</v>
      </c>
      <c r="E443" s="12">
        <f>CHOOSE( CONTROL!$C$32, 12.8109, 12.8086) * CHOOSE( CONTROL!$C$15, $D$11, 100%, $F$11)</f>
        <v>12.8109</v>
      </c>
      <c r="F443" s="4">
        <f>CHOOSE( CONTROL!$C$32, 13.509, 13.5067) * CHOOSE(CONTROL!$C$15, $D$11, 100%, $F$11)</f>
        <v>13.509</v>
      </c>
      <c r="G443" s="8">
        <f>CHOOSE( CONTROL!$C$32, 12.4909, 12.4886) * CHOOSE( CONTROL!$C$15, $D$11, 100%, $F$11)</f>
        <v>12.4909</v>
      </c>
      <c r="H443" s="4">
        <f>CHOOSE( CONTROL!$C$32, 13.4419, 13.4397) * CHOOSE(CONTROL!$C$15, $D$11, 100%, $F$11)</f>
        <v>13.4419</v>
      </c>
      <c r="I443" s="8">
        <f>CHOOSE( CONTROL!$C$32, 12.3764, 12.3742) * CHOOSE(CONTROL!$C$15, $D$11, 100%, $F$11)</f>
        <v>12.3764</v>
      </c>
      <c r="J443" s="4">
        <f>CHOOSE( CONTROL!$C$32, 12.2558, 12.2536) * CHOOSE(CONTROL!$C$15, $D$11, 100%, $F$11)</f>
        <v>12.255800000000001</v>
      </c>
      <c r="K443" s="4"/>
      <c r="L443" s="9">
        <v>30.7165</v>
      </c>
      <c r="M443" s="9">
        <v>12.063700000000001</v>
      </c>
      <c r="N443" s="9">
        <v>4.9444999999999997</v>
      </c>
      <c r="O443" s="9">
        <v>0.37409999999999999</v>
      </c>
      <c r="P443" s="9">
        <v>1.2183999999999999</v>
      </c>
      <c r="Q443" s="9">
        <v>20.071300000000001</v>
      </c>
      <c r="R443" s="9"/>
      <c r="S443" s="11"/>
    </row>
    <row r="444" spans="1:19" ht="15.75">
      <c r="A444" s="13">
        <v>55031</v>
      </c>
      <c r="B444" s="8">
        <f>CHOOSE( CONTROL!$C$32, 11.7949, 11.7926) * CHOOSE(CONTROL!$C$15, $D$11, 100%, $F$11)</f>
        <v>11.7949</v>
      </c>
      <c r="C444" s="8">
        <f>CHOOSE( CONTROL!$C$32, 11.8055, 11.8032) * CHOOSE(CONTROL!$C$15, $D$11, 100%, $F$11)</f>
        <v>11.8055</v>
      </c>
      <c r="D444" s="8">
        <f>CHOOSE( CONTROL!$C$32, 11.8397, 11.8374) * CHOOSE( CONTROL!$C$15, $D$11, 100%, $F$11)</f>
        <v>11.839700000000001</v>
      </c>
      <c r="E444" s="12">
        <f>CHOOSE( CONTROL!$C$32, 11.8257, 11.8234) * CHOOSE( CONTROL!$C$15, $D$11, 100%, $F$11)</f>
        <v>11.825699999999999</v>
      </c>
      <c r="F444" s="4">
        <f>CHOOSE( CONTROL!$C$32, 12.5238, 12.5215) * CHOOSE(CONTROL!$C$15, $D$11, 100%, $F$11)</f>
        <v>12.5238</v>
      </c>
      <c r="G444" s="8">
        <f>CHOOSE( CONTROL!$C$32, 11.5278, 11.5255) * CHOOSE( CONTROL!$C$15, $D$11, 100%, $F$11)</f>
        <v>11.527799999999999</v>
      </c>
      <c r="H444" s="4">
        <f>CHOOSE( CONTROL!$C$32, 12.4787, 12.4764) * CHOOSE(CONTROL!$C$15, $D$11, 100%, $F$11)</f>
        <v>12.4787</v>
      </c>
      <c r="I444" s="8">
        <f>CHOOSE( CONTROL!$C$32, 11.4303, 11.4281) * CHOOSE(CONTROL!$C$15, $D$11, 100%, $F$11)</f>
        <v>11.430300000000001</v>
      </c>
      <c r="J444" s="4">
        <f>CHOOSE( CONTROL!$C$32, 11.31, 11.3077) * CHOOSE(CONTROL!$C$15, $D$11, 100%, $F$11)</f>
        <v>11.31</v>
      </c>
      <c r="K444" s="4"/>
      <c r="L444" s="9">
        <v>30.7165</v>
      </c>
      <c r="M444" s="9">
        <v>12.063700000000001</v>
      </c>
      <c r="N444" s="9">
        <v>4.9444999999999997</v>
      </c>
      <c r="O444" s="9">
        <v>0.37409999999999999</v>
      </c>
      <c r="P444" s="9">
        <v>1.2183999999999999</v>
      </c>
      <c r="Q444" s="9">
        <v>20.071300000000001</v>
      </c>
      <c r="R444" s="9"/>
      <c r="S444" s="11"/>
    </row>
    <row r="445" spans="1:19" ht="15.75">
      <c r="A445" s="13">
        <v>55061</v>
      </c>
      <c r="B445" s="8">
        <f>CHOOSE( CONTROL!$C$32, 11.5482, 11.5459) * CHOOSE(CONTROL!$C$15, $D$11, 100%, $F$11)</f>
        <v>11.5482</v>
      </c>
      <c r="C445" s="8">
        <f>CHOOSE( CONTROL!$C$32, 11.5588, 11.5565) * CHOOSE(CONTROL!$C$15, $D$11, 100%, $F$11)</f>
        <v>11.5588</v>
      </c>
      <c r="D445" s="8">
        <f>CHOOSE( CONTROL!$C$32, 11.593, 11.5907) * CHOOSE( CONTROL!$C$15, $D$11, 100%, $F$11)</f>
        <v>11.593</v>
      </c>
      <c r="E445" s="12">
        <f>CHOOSE( CONTROL!$C$32, 11.579, 11.5767) * CHOOSE( CONTROL!$C$15, $D$11, 100%, $F$11)</f>
        <v>11.579000000000001</v>
      </c>
      <c r="F445" s="4">
        <f>CHOOSE( CONTROL!$C$32, 12.2771, 12.2748) * CHOOSE(CONTROL!$C$15, $D$11, 100%, $F$11)</f>
        <v>12.277100000000001</v>
      </c>
      <c r="G445" s="8">
        <f>CHOOSE( CONTROL!$C$32, 11.2865, 11.2842) * CHOOSE( CONTROL!$C$15, $D$11, 100%, $F$11)</f>
        <v>11.2865</v>
      </c>
      <c r="H445" s="4">
        <f>CHOOSE( CONTROL!$C$32, 12.2375, 12.2352) * CHOOSE(CONTROL!$C$15, $D$11, 100%, $F$11)</f>
        <v>12.237500000000001</v>
      </c>
      <c r="I445" s="8">
        <f>CHOOSE( CONTROL!$C$32, 11.1932, 11.191) * CHOOSE(CONTROL!$C$15, $D$11, 100%, $F$11)</f>
        <v>11.193199999999999</v>
      </c>
      <c r="J445" s="4">
        <f>CHOOSE( CONTROL!$C$32, 11.0731, 11.0709) * CHOOSE(CONTROL!$C$15, $D$11, 100%, $F$11)</f>
        <v>11.0731</v>
      </c>
      <c r="K445" s="4"/>
      <c r="L445" s="9">
        <v>29.7257</v>
      </c>
      <c r="M445" s="9">
        <v>11.6745</v>
      </c>
      <c r="N445" s="9">
        <v>4.7850000000000001</v>
      </c>
      <c r="O445" s="9">
        <v>0.36199999999999999</v>
      </c>
      <c r="P445" s="9">
        <v>1.1791</v>
      </c>
      <c r="Q445" s="9">
        <v>19.4238</v>
      </c>
      <c r="R445" s="9"/>
      <c r="S445" s="11"/>
    </row>
    <row r="446" spans="1:19" ht="15.75">
      <c r="A446" s="13">
        <v>55092</v>
      </c>
      <c r="B446" s="8">
        <f>12.0583 * CHOOSE(CONTROL!$C$15, $D$11, 100%, $F$11)</f>
        <v>12.058299999999999</v>
      </c>
      <c r="C446" s="8">
        <f>12.069 * CHOOSE(CONTROL!$C$15, $D$11, 100%, $F$11)</f>
        <v>12.069000000000001</v>
      </c>
      <c r="D446" s="8">
        <f>12.1044 * CHOOSE( CONTROL!$C$15, $D$11, 100%, $F$11)</f>
        <v>12.1044</v>
      </c>
      <c r="E446" s="12">
        <f>12.0916 * CHOOSE( CONTROL!$C$15, $D$11, 100%, $F$11)</f>
        <v>12.0916</v>
      </c>
      <c r="F446" s="4">
        <f>12.7871 * CHOOSE(CONTROL!$C$15, $D$11, 100%, $F$11)</f>
        <v>12.787100000000001</v>
      </c>
      <c r="G446" s="8">
        <f>11.7849 * CHOOSE( CONTROL!$C$15, $D$11, 100%, $F$11)</f>
        <v>11.7849</v>
      </c>
      <c r="H446" s="4">
        <f>12.736 * CHOOSE(CONTROL!$C$15, $D$11, 100%, $F$11)</f>
        <v>12.736000000000001</v>
      </c>
      <c r="I446" s="8">
        <f>11.6839 * CHOOSE(CONTROL!$C$15, $D$11, 100%, $F$11)</f>
        <v>11.6839</v>
      </c>
      <c r="J446" s="4">
        <f>11.5627 * CHOOSE(CONTROL!$C$15, $D$11, 100%, $F$11)</f>
        <v>11.5627</v>
      </c>
      <c r="K446" s="4"/>
      <c r="L446" s="9">
        <v>31.095300000000002</v>
      </c>
      <c r="M446" s="9">
        <v>12.063700000000001</v>
      </c>
      <c r="N446" s="9">
        <v>4.9444999999999997</v>
      </c>
      <c r="O446" s="9">
        <v>0.37409999999999999</v>
      </c>
      <c r="P446" s="9">
        <v>1.2183999999999999</v>
      </c>
      <c r="Q446" s="9">
        <v>20.071300000000001</v>
      </c>
      <c r="R446" s="9"/>
      <c r="S446" s="11"/>
    </row>
    <row r="447" spans="1:19" ht="15.75">
      <c r="A447" s="13">
        <v>55122</v>
      </c>
      <c r="B447" s="8">
        <f>13.0038 * CHOOSE(CONTROL!$C$15, $D$11, 100%, $F$11)</f>
        <v>13.0038</v>
      </c>
      <c r="C447" s="8">
        <f>13.0145 * CHOOSE(CONTROL!$C$15, $D$11, 100%, $F$11)</f>
        <v>13.0145</v>
      </c>
      <c r="D447" s="8">
        <f>12.9906 * CHOOSE( CONTROL!$C$15, $D$11, 100%, $F$11)</f>
        <v>12.990600000000001</v>
      </c>
      <c r="E447" s="12">
        <f>12.9982 * CHOOSE( CONTROL!$C$15, $D$11, 100%, $F$11)</f>
        <v>12.998200000000001</v>
      </c>
      <c r="F447" s="4">
        <f>13.6649 * CHOOSE(CONTROL!$C$15, $D$11, 100%, $F$11)</f>
        <v>13.664899999999999</v>
      </c>
      <c r="G447" s="8">
        <f>12.7093 * CHOOSE( CONTROL!$C$15, $D$11, 100%, $F$11)</f>
        <v>12.709300000000001</v>
      </c>
      <c r="H447" s="4">
        <f>13.5943 * CHOOSE(CONTROL!$C$15, $D$11, 100%, $F$11)</f>
        <v>13.5943</v>
      </c>
      <c r="I447" s="8">
        <f>12.6355 * CHOOSE(CONTROL!$C$15, $D$11, 100%, $F$11)</f>
        <v>12.6355</v>
      </c>
      <c r="J447" s="4">
        <f>12.4705 * CHOOSE(CONTROL!$C$15, $D$11, 100%, $F$11)</f>
        <v>12.470499999999999</v>
      </c>
      <c r="K447" s="4"/>
      <c r="L447" s="9">
        <v>28.360600000000002</v>
      </c>
      <c r="M447" s="9">
        <v>11.6745</v>
      </c>
      <c r="N447" s="9">
        <v>4.7850000000000001</v>
      </c>
      <c r="O447" s="9">
        <v>0.36199999999999999</v>
      </c>
      <c r="P447" s="9">
        <v>1.2509999999999999</v>
      </c>
      <c r="Q447" s="9">
        <v>19.4238</v>
      </c>
      <c r="R447" s="9"/>
      <c r="S447" s="11"/>
    </row>
    <row r="448" spans="1:19" ht="15.75">
      <c r="A448" s="13">
        <v>55153</v>
      </c>
      <c r="B448" s="8">
        <f>12.9802 * CHOOSE(CONTROL!$C$15, $D$11, 100%, $F$11)</f>
        <v>12.9802</v>
      </c>
      <c r="C448" s="8">
        <f>12.9909 * CHOOSE(CONTROL!$C$15, $D$11, 100%, $F$11)</f>
        <v>12.9909</v>
      </c>
      <c r="D448" s="8">
        <f>12.9686 * CHOOSE( CONTROL!$C$15, $D$11, 100%, $F$11)</f>
        <v>12.9686</v>
      </c>
      <c r="E448" s="12">
        <f>12.9756 * CHOOSE( CONTROL!$C$15, $D$11, 100%, $F$11)</f>
        <v>12.9756</v>
      </c>
      <c r="F448" s="4">
        <f>13.6413 * CHOOSE(CONTROL!$C$15, $D$11, 100%, $F$11)</f>
        <v>13.641299999999999</v>
      </c>
      <c r="G448" s="8">
        <f>12.6874 * CHOOSE( CONTROL!$C$15, $D$11, 100%, $F$11)</f>
        <v>12.6874</v>
      </c>
      <c r="H448" s="4">
        <f>13.5712 * CHOOSE(CONTROL!$C$15, $D$11, 100%, $F$11)</f>
        <v>13.571199999999999</v>
      </c>
      <c r="I448" s="8">
        <f>12.618 * CHOOSE(CONTROL!$C$15, $D$11, 100%, $F$11)</f>
        <v>12.618</v>
      </c>
      <c r="J448" s="4">
        <f>12.4478 * CHOOSE(CONTROL!$C$15, $D$11, 100%, $F$11)</f>
        <v>12.447800000000001</v>
      </c>
      <c r="K448" s="4"/>
      <c r="L448" s="9">
        <v>29.306000000000001</v>
      </c>
      <c r="M448" s="9">
        <v>12.063700000000001</v>
      </c>
      <c r="N448" s="9">
        <v>4.9444999999999997</v>
      </c>
      <c r="O448" s="9">
        <v>0.37409999999999999</v>
      </c>
      <c r="P448" s="9">
        <v>1.2927</v>
      </c>
      <c r="Q448" s="9">
        <v>20.071300000000001</v>
      </c>
      <c r="R448" s="9"/>
      <c r="S448" s="11"/>
    </row>
    <row r="449" spans="1:19" ht="15.75">
      <c r="A449" s="13">
        <v>55184</v>
      </c>
      <c r="B449" s="8">
        <f>13.3626 * CHOOSE(CONTROL!$C$15, $D$11, 100%, $F$11)</f>
        <v>13.3626</v>
      </c>
      <c r="C449" s="8">
        <f>13.3733 * CHOOSE(CONTROL!$C$15, $D$11, 100%, $F$11)</f>
        <v>13.3733</v>
      </c>
      <c r="D449" s="8">
        <f>13.355 * CHOOSE( CONTROL!$C$15, $D$11, 100%, $F$11)</f>
        <v>13.355</v>
      </c>
      <c r="E449" s="12">
        <f>13.3606 * CHOOSE( CONTROL!$C$15, $D$11, 100%, $F$11)</f>
        <v>13.3606</v>
      </c>
      <c r="F449" s="4">
        <f>14.0237 * CHOOSE(CONTROL!$C$15, $D$11, 100%, $F$11)</f>
        <v>14.0237</v>
      </c>
      <c r="G449" s="8">
        <f>13.0569 * CHOOSE( CONTROL!$C$15, $D$11, 100%, $F$11)</f>
        <v>13.056900000000001</v>
      </c>
      <c r="H449" s="4">
        <f>13.9451 * CHOOSE(CONTROL!$C$15, $D$11, 100%, $F$11)</f>
        <v>13.9451</v>
      </c>
      <c r="I449" s="8">
        <f>12.9407 * CHOOSE(CONTROL!$C$15, $D$11, 100%, $F$11)</f>
        <v>12.9407</v>
      </c>
      <c r="J449" s="4">
        <f>12.815 * CHOOSE(CONTROL!$C$15, $D$11, 100%, $F$11)</f>
        <v>12.815</v>
      </c>
      <c r="K449" s="4"/>
      <c r="L449" s="9">
        <v>29.306000000000001</v>
      </c>
      <c r="M449" s="9">
        <v>12.063700000000001</v>
      </c>
      <c r="N449" s="9">
        <v>4.9444999999999997</v>
      </c>
      <c r="O449" s="9">
        <v>0.37409999999999999</v>
      </c>
      <c r="P449" s="9">
        <v>1.2927</v>
      </c>
      <c r="Q449" s="9">
        <v>20.007999999999999</v>
      </c>
      <c r="R449" s="9"/>
      <c r="S449" s="11"/>
    </row>
    <row r="450" spans="1:19" ht="15.75">
      <c r="A450" s="13">
        <v>55212</v>
      </c>
      <c r="B450" s="8">
        <f>12.4997 * CHOOSE(CONTROL!$C$15, $D$11, 100%, $F$11)</f>
        <v>12.499700000000001</v>
      </c>
      <c r="C450" s="8">
        <f>12.5105 * CHOOSE(CONTROL!$C$15, $D$11, 100%, $F$11)</f>
        <v>12.5105</v>
      </c>
      <c r="D450" s="8">
        <f>12.4919 * CHOOSE( CONTROL!$C$15, $D$11, 100%, $F$11)</f>
        <v>12.491899999999999</v>
      </c>
      <c r="E450" s="12">
        <f>12.4976 * CHOOSE( CONTROL!$C$15, $D$11, 100%, $F$11)</f>
        <v>12.4976</v>
      </c>
      <c r="F450" s="4">
        <f>13.1608 * CHOOSE(CONTROL!$C$15, $D$11, 100%, $F$11)</f>
        <v>13.1608</v>
      </c>
      <c r="G450" s="8">
        <f>12.2131 * CHOOSE( CONTROL!$C$15, $D$11, 100%, $F$11)</f>
        <v>12.213100000000001</v>
      </c>
      <c r="H450" s="4">
        <f>13.1014 * CHOOSE(CONTROL!$C$15, $D$11, 100%, $F$11)</f>
        <v>13.1014</v>
      </c>
      <c r="I450" s="8">
        <f>12.1113 * CHOOSE(CONTROL!$C$15, $D$11, 100%, $F$11)</f>
        <v>12.1113</v>
      </c>
      <c r="J450" s="4">
        <f>11.9865 * CHOOSE(CONTROL!$C$15, $D$11, 100%, $F$11)</f>
        <v>11.986499999999999</v>
      </c>
      <c r="K450" s="4"/>
      <c r="L450" s="9">
        <v>26.469899999999999</v>
      </c>
      <c r="M450" s="9">
        <v>10.8962</v>
      </c>
      <c r="N450" s="9">
        <v>4.4660000000000002</v>
      </c>
      <c r="O450" s="9">
        <v>0.33789999999999998</v>
      </c>
      <c r="P450" s="9">
        <v>1.1676</v>
      </c>
      <c r="Q450" s="9">
        <v>18.0718</v>
      </c>
      <c r="R450" s="9"/>
      <c r="S450" s="11"/>
    </row>
    <row r="451" spans="1:19" ht="15.75">
      <c r="A451" s="13">
        <v>55243</v>
      </c>
      <c r="B451" s="8">
        <f>12.2339 * CHOOSE(CONTROL!$C$15, $D$11, 100%, $F$11)</f>
        <v>12.2339</v>
      </c>
      <c r="C451" s="8">
        <f>12.2447 * CHOOSE(CONTROL!$C$15, $D$11, 100%, $F$11)</f>
        <v>12.2447</v>
      </c>
      <c r="D451" s="8">
        <f>12.2256 * CHOOSE( CONTROL!$C$15, $D$11, 100%, $F$11)</f>
        <v>12.2256</v>
      </c>
      <c r="E451" s="12">
        <f>12.2314 * CHOOSE( CONTROL!$C$15, $D$11, 100%, $F$11)</f>
        <v>12.231400000000001</v>
      </c>
      <c r="F451" s="4">
        <f>12.895 * CHOOSE(CONTROL!$C$15, $D$11, 100%, $F$11)</f>
        <v>12.895</v>
      </c>
      <c r="G451" s="8">
        <f>11.9529 * CHOOSE( CONTROL!$C$15, $D$11, 100%, $F$11)</f>
        <v>11.9529</v>
      </c>
      <c r="H451" s="4">
        <f>12.8416 * CHOOSE(CONTROL!$C$15, $D$11, 100%, $F$11)</f>
        <v>12.8416</v>
      </c>
      <c r="I451" s="8">
        <f>11.8545 * CHOOSE(CONTROL!$C$15, $D$11, 100%, $F$11)</f>
        <v>11.8545</v>
      </c>
      <c r="J451" s="4">
        <f>11.7313 * CHOOSE(CONTROL!$C$15, $D$11, 100%, $F$11)</f>
        <v>11.731299999999999</v>
      </c>
      <c r="K451" s="4"/>
      <c r="L451" s="9">
        <v>29.306000000000001</v>
      </c>
      <c r="M451" s="9">
        <v>12.063700000000001</v>
      </c>
      <c r="N451" s="9">
        <v>4.9444999999999997</v>
      </c>
      <c r="O451" s="9">
        <v>0.37409999999999999</v>
      </c>
      <c r="P451" s="9">
        <v>1.2927</v>
      </c>
      <c r="Q451" s="9">
        <v>20.007999999999999</v>
      </c>
      <c r="R451" s="9"/>
      <c r="S451" s="11"/>
    </row>
    <row r="452" spans="1:19" ht="15.75">
      <c r="A452" s="13">
        <v>55273</v>
      </c>
      <c r="B452" s="8">
        <f>12.4196 * CHOOSE(CONTROL!$C$15, $D$11, 100%, $F$11)</f>
        <v>12.419600000000001</v>
      </c>
      <c r="C452" s="8">
        <f>12.4304 * CHOOSE(CONTROL!$C$15, $D$11, 100%, $F$11)</f>
        <v>12.430400000000001</v>
      </c>
      <c r="D452" s="8">
        <f>12.4651 * CHOOSE( CONTROL!$C$15, $D$11, 100%, $F$11)</f>
        <v>12.4651</v>
      </c>
      <c r="E452" s="12">
        <f>12.4524 * CHOOSE( CONTROL!$C$15, $D$11, 100%, $F$11)</f>
        <v>12.452400000000001</v>
      </c>
      <c r="F452" s="4">
        <f>13.1484 * CHOOSE(CONTROL!$C$15, $D$11, 100%, $F$11)</f>
        <v>13.148400000000001</v>
      </c>
      <c r="G452" s="8">
        <f>12.1373 * CHOOSE( CONTROL!$C$15, $D$11, 100%, $F$11)</f>
        <v>12.1373</v>
      </c>
      <c r="H452" s="4">
        <f>13.0893 * CHOOSE(CONTROL!$C$15, $D$11, 100%, $F$11)</f>
        <v>13.0893</v>
      </c>
      <c r="I452" s="8">
        <f>12.0282 * CHOOSE(CONTROL!$C$15, $D$11, 100%, $F$11)</f>
        <v>12.0282</v>
      </c>
      <c r="J452" s="4">
        <f>11.9096 * CHOOSE(CONTROL!$C$15, $D$11, 100%, $F$11)</f>
        <v>11.909599999999999</v>
      </c>
      <c r="K452" s="4"/>
      <c r="L452" s="9">
        <v>30.092199999999998</v>
      </c>
      <c r="M452" s="9">
        <v>11.6745</v>
      </c>
      <c r="N452" s="9">
        <v>4.7850000000000001</v>
      </c>
      <c r="O452" s="9">
        <v>0.36199999999999999</v>
      </c>
      <c r="P452" s="9">
        <v>1.1791</v>
      </c>
      <c r="Q452" s="9">
        <v>19.3626</v>
      </c>
      <c r="R452" s="9"/>
      <c r="S452" s="11"/>
    </row>
    <row r="453" spans="1:19" ht="15.75">
      <c r="A453" s="13">
        <v>55304</v>
      </c>
      <c r="B453" s="8">
        <f>CHOOSE( CONTROL!$C$32, 12.7523, 12.75) * CHOOSE(CONTROL!$C$15, $D$11, 100%, $F$11)</f>
        <v>12.7523</v>
      </c>
      <c r="C453" s="8">
        <f>CHOOSE( CONTROL!$C$32, 12.7629, 12.7606) * CHOOSE(CONTROL!$C$15, $D$11, 100%, $F$11)</f>
        <v>12.7629</v>
      </c>
      <c r="D453" s="8">
        <f>CHOOSE( CONTROL!$C$32, 12.7967, 12.7944) * CHOOSE( CONTROL!$C$15, $D$11, 100%, $F$11)</f>
        <v>12.7967</v>
      </c>
      <c r="E453" s="12">
        <f>CHOOSE( CONTROL!$C$32, 12.7828, 12.7805) * CHOOSE( CONTROL!$C$15, $D$11, 100%, $F$11)</f>
        <v>12.7828</v>
      </c>
      <c r="F453" s="4">
        <f>CHOOSE( CONTROL!$C$32, 13.4813, 13.479) * CHOOSE(CONTROL!$C$15, $D$11, 100%, $F$11)</f>
        <v>13.481299999999999</v>
      </c>
      <c r="G453" s="8">
        <f>CHOOSE( CONTROL!$C$32, 12.4632, 12.4609) * CHOOSE( CONTROL!$C$15, $D$11, 100%, $F$11)</f>
        <v>12.463200000000001</v>
      </c>
      <c r="H453" s="4">
        <f>CHOOSE( CONTROL!$C$32, 13.4148, 13.4125) * CHOOSE(CONTROL!$C$15, $D$11, 100%, $F$11)</f>
        <v>13.4148</v>
      </c>
      <c r="I453" s="8">
        <f>CHOOSE( CONTROL!$C$32, 12.348, 12.3458) * CHOOSE(CONTROL!$C$15, $D$11, 100%, $F$11)</f>
        <v>12.348000000000001</v>
      </c>
      <c r="J453" s="4">
        <f>CHOOSE( CONTROL!$C$32, 12.2292, 12.227) * CHOOSE(CONTROL!$C$15, $D$11, 100%, $F$11)</f>
        <v>12.229200000000001</v>
      </c>
      <c r="K453" s="4"/>
      <c r="L453" s="9">
        <v>30.7165</v>
      </c>
      <c r="M453" s="9">
        <v>12.063700000000001</v>
      </c>
      <c r="N453" s="9">
        <v>4.9444999999999997</v>
      </c>
      <c r="O453" s="9">
        <v>0.37409999999999999</v>
      </c>
      <c r="P453" s="9">
        <v>1.2183999999999999</v>
      </c>
      <c r="Q453" s="9">
        <v>20.007999999999999</v>
      </c>
      <c r="R453" s="9"/>
      <c r="S453" s="11"/>
    </row>
    <row r="454" spans="1:19" ht="15.75">
      <c r="A454" s="13">
        <v>55334</v>
      </c>
      <c r="B454" s="8">
        <f>CHOOSE( CONTROL!$C$32, 12.5476, 12.5453) * CHOOSE(CONTROL!$C$15, $D$11, 100%, $F$11)</f>
        <v>12.547599999999999</v>
      </c>
      <c r="C454" s="8">
        <f>CHOOSE( CONTROL!$C$32, 12.5581, 12.5558) * CHOOSE(CONTROL!$C$15, $D$11, 100%, $F$11)</f>
        <v>12.5581</v>
      </c>
      <c r="D454" s="8">
        <f>CHOOSE( CONTROL!$C$32, 12.5921, 12.5898) * CHOOSE( CONTROL!$C$15, $D$11, 100%, $F$11)</f>
        <v>12.5921</v>
      </c>
      <c r="E454" s="12">
        <f>CHOOSE( CONTROL!$C$32, 12.5782, 12.5759) * CHOOSE( CONTROL!$C$15, $D$11, 100%, $F$11)</f>
        <v>12.578200000000001</v>
      </c>
      <c r="F454" s="4">
        <f>CHOOSE( CONTROL!$C$32, 13.2765, 13.2742) * CHOOSE(CONTROL!$C$15, $D$11, 100%, $F$11)</f>
        <v>13.2765</v>
      </c>
      <c r="G454" s="8">
        <f>CHOOSE( CONTROL!$C$32, 12.2632, 12.261) * CHOOSE( CONTROL!$C$15, $D$11, 100%, $F$11)</f>
        <v>12.263199999999999</v>
      </c>
      <c r="H454" s="4">
        <f>CHOOSE( CONTROL!$C$32, 13.2146, 13.2123) * CHOOSE(CONTROL!$C$15, $D$11, 100%, $F$11)</f>
        <v>13.214600000000001</v>
      </c>
      <c r="I454" s="8">
        <f>CHOOSE( CONTROL!$C$32, 12.1521, 12.1498) * CHOOSE(CONTROL!$C$15, $D$11, 100%, $F$11)</f>
        <v>12.152100000000001</v>
      </c>
      <c r="J454" s="4">
        <f>CHOOSE( CONTROL!$C$32, 12.0326, 12.0304) * CHOOSE(CONTROL!$C$15, $D$11, 100%, $F$11)</f>
        <v>12.0326</v>
      </c>
      <c r="K454" s="4"/>
      <c r="L454" s="9">
        <v>29.7257</v>
      </c>
      <c r="M454" s="9">
        <v>11.6745</v>
      </c>
      <c r="N454" s="9">
        <v>4.7850000000000001</v>
      </c>
      <c r="O454" s="9">
        <v>0.36199999999999999</v>
      </c>
      <c r="P454" s="9">
        <v>1.1791</v>
      </c>
      <c r="Q454" s="9">
        <v>19.3626</v>
      </c>
      <c r="R454" s="9"/>
      <c r="S454" s="11"/>
    </row>
    <row r="455" spans="1:19" ht="15.75">
      <c r="A455" s="13">
        <v>55365</v>
      </c>
      <c r="B455" s="8">
        <f>CHOOSE( CONTROL!$C$32, 13.0868, 13.0845) * CHOOSE(CONTROL!$C$15, $D$11, 100%, $F$11)</f>
        <v>13.0868</v>
      </c>
      <c r="C455" s="8">
        <f>CHOOSE( CONTROL!$C$32, 13.0973, 13.095) * CHOOSE(CONTROL!$C$15, $D$11, 100%, $F$11)</f>
        <v>13.097300000000001</v>
      </c>
      <c r="D455" s="8">
        <f>CHOOSE( CONTROL!$C$32, 13.1315, 13.1292) * CHOOSE( CONTROL!$C$15, $D$11, 100%, $F$11)</f>
        <v>13.131500000000001</v>
      </c>
      <c r="E455" s="12">
        <f>CHOOSE( CONTROL!$C$32, 13.1175, 13.1152) * CHOOSE( CONTROL!$C$15, $D$11, 100%, $F$11)</f>
        <v>13.1175</v>
      </c>
      <c r="F455" s="4">
        <f>CHOOSE( CONTROL!$C$32, 13.8157, 13.8134) * CHOOSE(CONTROL!$C$15, $D$11, 100%, $F$11)</f>
        <v>13.8157</v>
      </c>
      <c r="G455" s="8">
        <f>CHOOSE( CONTROL!$C$32, 12.7907, 12.7885) * CHOOSE( CONTROL!$C$15, $D$11, 100%, $F$11)</f>
        <v>12.790699999999999</v>
      </c>
      <c r="H455" s="4">
        <f>CHOOSE( CONTROL!$C$32, 13.7417, 13.7395) * CHOOSE(CONTROL!$C$15, $D$11, 100%, $F$11)</f>
        <v>13.7417</v>
      </c>
      <c r="I455" s="8">
        <f>CHOOSE( CONTROL!$C$32, 12.671, 12.6688) * CHOOSE(CONTROL!$C$15, $D$11, 100%, $F$11)</f>
        <v>12.670999999999999</v>
      </c>
      <c r="J455" s="4">
        <f>CHOOSE( CONTROL!$C$32, 12.5503, 12.5481) * CHOOSE(CONTROL!$C$15, $D$11, 100%, $F$11)</f>
        <v>12.5503</v>
      </c>
      <c r="K455" s="4"/>
      <c r="L455" s="9">
        <v>30.7165</v>
      </c>
      <c r="M455" s="9">
        <v>12.063700000000001</v>
      </c>
      <c r="N455" s="9">
        <v>4.9444999999999997</v>
      </c>
      <c r="O455" s="9">
        <v>0.37409999999999999</v>
      </c>
      <c r="P455" s="9">
        <v>1.2183999999999999</v>
      </c>
      <c r="Q455" s="9">
        <v>20.007999999999999</v>
      </c>
      <c r="R455" s="9"/>
      <c r="S455" s="11"/>
    </row>
    <row r="456" spans="1:19" ht="15.75">
      <c r="A456" s="13">
        <v>55396</v>
      </c>
      <c r="B456" s="8">
        <f>CHOOSE( CONTROL!$C$32, 12.0779, 12.0756) * CHOOSE(CONTROL!$C$15, $D$11, 100%, $F$11)</f>
        <v>12.0779</v>
      </c>
      <c r="C456" s="8">
        <f>CHOOSE( CONTROL!$C$32, 12.0885, 12.0862) * CHOOSE(CONTROL!$C$15, $D$11, 100%, $F$11)</f>
        <v>12.0885</v>
      </c>
      <c r="D456" s="8">
        <f>CHOOSE( CONTROL!$C$32, 12.1227, 12.1204) * CHOOSE( CONTROL!$C$15, $D$11, 100%, $F$11)</f>
        <v>12.1227</v>
      </c>
      <c r="E456" s="12">
        <f>CHOOSE( CONTROL!$C$32, 12.1087, 12.1064) * CHOOSE( CONTROL!$C$15, $D$11, 100%, $F$11)</f>
        <v>12.108700000000001</v>
      </c>
      <c r="F456" s="4">
        <f>CHOOSE( CONTROL!$C$32, 12.8068, 12.8045) * CHOOSE(CONTROL!$C$15, $D$11, 100%, $F$11)</f>
        <v>12.806800000000001</v>
      </c>
      <c r="G456" s="8">
        <f>CHOOSE( CONTROL!$C$32, 11.8044, 11.8022) * CHOOSE( CONTROL!$C$15, $D$11, 100%, $F$11)</f>
        <v>11.804399999999999</v>
      </c>
      <c r="H456" s="4">
        <f>CHOOSE( CONTROL!$C$32, 12.7554, 12.7531) * CHOOSE(CONTROL!$C$15, $D$11, 100%, $F$11)</f>
        <v>12.7554</v>
      </c>
      <c r="I456" s="8">
        <f>CHOOSE( CONTROL!$C$32, 11.7022, 11.6999) * CHOOSE(CONTROL!$C$15, $D$11, 100%, $F$11)</f>
        <v>11.702199999999999</v>
      </c>
      <c r="J456" s="4">
        <f>CHOOSE( CONTROL!$C$32, 11.5816, 11.5794) * CHOOSE(CONTROL!$C$15, $D$11, 100%, $F$11)</f>
        <v>11.5816</v>
      </c>
      <c r="K456" s="4"/>
      <c r="L456" s="9">
        <v>30.7165</v>
      </c>
      <c r="M456" s="9">
        <v>12.063700000000001</v>
      </c>
      <c r="N456" s="9">
        <v>4.9444999999999997</v>
      </c>
      <c r="O456" s="9">
        <v>0.37409999999999999</v>
      </c>
      <c r="P456" s="9">
        <v>1.2183999999999999</v>
      </c>
      <c r="Q456" s="9">
        <v>20.007999999999999</v>
      </c>
      <c r="R456" s="9"/>
      <c r="S456" s="11"/>
    </row>
    <row r="457" spans="1:19" ht="15.75">
      <c r="A457" s="13">
        <v>55426</v>
      </c>
      <c r="B457" s="8">
        <f>CHOOSE( CONTROL!$C$32, 11.8253, 11.823) * CHOOSE(CONTROL!$C$15, $D$11, 100%, $F$11)</f>
        <v>11.8253</v>
      </c>
      <c r="C457" s="8">
        <f>CHOOSE( CONTROL!$C$32, 11.8358, 11.8335) * CHOOSE(CONTROL!$C$15, $D$11, 100%, $F$11)</f>
        <v>11.835800000000001</v>
      </c>
      <c r="D457" s="8">
        <f>CHOOSE( CONTROL!$C$32, 11.8701, 11.8678) * CHOOSE( CONTROL!$C$15, $D$11, 100%, $F$11)</f>
        <v>11.870100000000001</v>
      </c>
      <c r="E457" s="12">
        <f>CHOOSE( CONTROL!$C$32, 11.8561, 11.8538) * CHOOSE( CONTROL!$C$15, $D$11, 100%, $F$11)</f>
        <v>11.8561</v>
      </c>
      <c r="F457" s="4">
        <f>CHOOSE( CONTROL!$C$32, 12.5542, 12.5519) * CHOOSE(CONTROL!$C$15, $D$11, 100%, $F$11)</f>
        <v>12.5542</v>
      </c>
      <c r="G457" s="8">
        <f>CHOOSE( CONTROL!$C$32, 11.5574, 11.5551) * CHOOSE( CONTROL!$C$15, $D$11, 100%, $F$11)</f>
        <v>11.557399999999999</v>
      </c>
      <c r="H457" s="4">
        <f>CHOOSE( CONTROL!$C$32, 12.5084, 12.5061) * CHOOSE(CONTROL!$C$15, $D$11, 100%, $F$11)</f>
        <v>12.5084</v>
      </c>
      <c r="I457" s="8">
        <f>CHOOSE( CONTROL!$C$32, 11.4593, 11.4571) * CHOOSE(CONTROL!$C$15, $D$11, 100%, $F$11)</f>
        <v>11.459300000000001</v>
      </c>
      <c r="J457" s="4">
        <f>CHOOSE( CONTROL!$C$32, 11.3391, 11.3369) * CHOOSE(CONTROL!$C$15, $D$11, 100%, $F$11)</f>
        <v>11.3391</v>
      </c>
      <c r="K457" s="4"/>
      <c r="L457" s="9">
        <v>29.7257</v>
      </c>
      <c r="M457" s="9">
        <v>11.6745</v>
      </c>
      <c r="N457" s="9">
        <v>4.7850000000000001</v>
      </c>
      <c r="O457" s="9">
        <v>0.36199999999999999</v>
      </c>
      <c r="P457" s="9">
        <v>1.1791</v>
      </c>
      <c r="Q457" s="9">
        <v>19.3626</v>
      </c>
      <c r="R457" s="9"/>
      <c r="S457" s="11"/>
    </row>
    <row r="458" spans="1:19" ht="15.75">
      <c r="A458" s="13">
        <v>55457</v>
      </c>
      <c r="B458" s="8">
        <f>12.3476 * CHOOSE(CONTROL!$C$15, $D$11, 100%, $F$11)</f>
        <v>12.3476</v>
      </c>
      <c r="C458" s="8">
        <f>12.3584 * CHOOSE(CONTROL!$C$15, $D$11, 100%, $F$11)</f>
        <v>12.3584</v>
      </c>
      <c r="D458" s="8">
        <f>12.3938 * CHOOSE( CONTROL!$C$15, $D$11, 100%, $F$11)</f>
        <v>12.393800000000001</v>
      </c>
      <c r="E458" s="12">
        <f>12.381 * CHOOSE( CONTROL!$C$15, $D$11, 100%, $F$11)</f>
        <v>12.381</v>
      </c>
      <c r="F458" s="4">
        <f>13.0765 * CHOOSE(CONTROL!$C$15, $D$11, 100%, $F$11)</f>
        <v>13.076499999999999</v>
      </c>
      <c r="G458" s="8">
        <f>12.0678 * CHOOSE( CONTROL!$C$15, $D$11, 100%, $F$11)</f>
        <v>12.0678</v>
      </c>
      <c r="H458" s="4">
        <f>13.019 * CHOOSE(CONTROL!$C$15, $D$11, 100%, $F$11)</f>
        <v>13.019</v>
      </c>
      <c r="I458" s="8">
        <f>11.9619 * CHOOSE(CONTROL!$C$15, $D$11, 100%, $F$11)</f>
        <v>11.9619</v>
      </c>
      <c r="J458" s="4">
        <f>11.8405 * CHOOSE(CONTROL!$C$15, $D$11, 100%, $F$11)</f>
        <v>11.8405</v>
      </c>
      <c r="K458" s="4"/>
      <c r="L458" s="9">
        <v>31.095300000000002</v>
      </c>
      <c r="M458" s="9">
        <v>12.063700000000001</v>
      </c>
      <c r="N458" s="9">
        <v>4.9444999999999997</v>
      </c>
      <c r="O458" s="9">
        <v>0.37409999999999999</v>
      </c>
      <c r="P458" s="9">
        <v>1.2183999999999999</v>
      </c>
      <c r="Q458" s="9">
        <v>20.007999999999999</v>
      </c>
      <c r="R458" s="9"/>
      <c r="S458" s="11"/>
    </row>
    <row r="459" spans="1:19" ht="15.75">
      <c r="A459" s="13">
        <v>55487</v>
      </c>
      <c r="B459" s="8">
        <f>13.3159 * CHOOSE(CONTROL!$C$15, $D$11, 100%, $F$11)</f>
        <v>13.315899999999999</v>
      </c>
      <c r="C459" s="8">
        <f>13.3266 * CHOOSE(CONTROL!$C$15, $D$11, 100%, $F$11)</f>
        <v>13.326599999999999</v>
      </c>
      <c r="D459" s="8">
        <f>13.3027 * CHOOSE( CONTROL!$C$15, $D$11, 100%, $F$11)</f>
        <v>13.3027</v>
      </c>
      <c r="E459" s="12">
        <f>13.3103 * CHOOSE( CONTROL!$C$15, $D$11, 100%, $F$11)</f>
        <v>13.3103</v>
      </c>
      <c r="F459" s="4">
        <f>13.977 * CHOOSE(CONTROL!$C$15, $D$11, 100%, $F$11)</f>
        <v>13.977</v>
      </c>
      <c r="G459" s="8">
        <f>13.0144 * CHOOSE( CONTROL!$C$15, $D$11, 100%, $F$11)</f>
        <v>13.0144</v>
      </c>
      <c r="H459" s="4">
        <f>13.8994 * CHOOSE(CONTROL!$C$15, $D$11, 100%, $F$11)</f>
        <v>13.8994</v>
      </c>
      <c r="I459" s="8">
        <f>12.9353 * CHOOSE(CONTROL!$C$15, $D$11, 100%, $F$11)</f>
        <v>12.9353</v>
      </c>
      <c r="J459" s="4">
        <f>12.7701 * CHOOSE(CONTROL!$C$15, $D$11, 100%, $F$11)</f>
        <v>12.770099999999999</v>
      </c>
      <c r="K459" s="4"/>
      <c r="L459" s="9">
        <v>28.360600000000002</v>
      </c>
      <c r="M459" s="9">
        <v>11.6745</v>
      </c>
      <c r="N459" s="9">
        <v>4.7850000000000001</v>
      </c>
      <c r="O459" s="9">
        <v>0.36199999999999999</v>
      </c>
      <c r="P459" s="9">
        <v>1.2509999999999999</v>
      </c>
      <c r="Q459" s="9">
        <v>19.3626</v>
      </c>
      <c r="R459" s="9"/>
      <c r="S459" s="11"/>
    </row>
    <row r="460" spans="1:19" ht="15.75">
      <c r="A460" s="13">
        <v>55518</v>
      </c>
      <c r="B460" s="8">
        <f>13.2917 * CHOOSE(CONTROL!$C$15, $D$11, 100%, $F$11)</f>
        <v>13.291700000000001</v>
      </c>
      <c r="C460" s="8">
        <f>13.3024 * CHOOSE(CONTROL!$C$15, $D$11, 100%, $F$11)</f>
        <v>13.3024</v>
      </c>
      <c r="D460" s="8">
        <f>13.2802 * CHOOSE( CONTROL!$C$15, $D$11, 100%, $F$11)</f>
        <v>13.280200000000001</v>
      </c>
      <c r="E460" s="12">
        <f>13.2872 * CHOOSE( CONTROL!$C$15, $D$11, 100%, $F$11)</f>
        <v>13.2872</v>
      </c>
      <c r="F460" s="4">
        <f>13.9528 * CHOOSE(CONTROL!$C$15, $D$11, 100%, $F$11)</f>
        <v>13.9528</v>
      </c>
      <c r="G460" s="8">
        <f>12.992 * CHOOSE( CONTROL!$C$15, $D$11, 100%, $F$11)</f>
        <v>12.992000000000001</v>
      </c>
      <c r="H460" s="4">
        <f>13.8757 * CHOOSE(CONTROL!$C$15, $D$11, 100%, $F$11)</f>
        <v>13.8757</v>
      </c>
      <c r="I460" s="8">
        <f>12.9172 * CHOOSE(CONTROL!$C$15, $D$11, 100%, $F$11)</f>
        <v>12.917199999999999</v>
      </c>
      <c r="J460" s="4">
        <f>12.7469 * CHOOSE(CONTROL!$C$15, $D$11, 100%, $F$11)</f>
        <v>12.7469</v>
      </c>
      <c r="K460" s="4"/>
      <c r="L460" s="9">
        <v>29.306000000000001</v>
      </c>
      <c r="M460" s="9">
        <v>12.063700000000001</v>
      </c>
      <c r="N460" s="9">
        <v>4.9444999999999997</v>
      </c>
      <c r="O460" s="9">
        <v>0.37409999999999999</v>
      </c>
      <c r="P460" s="9">
        <v>1.2927</v>
      </c>
      <c r="Q460" s="9">
        <v>20.007999999999999</v>
      </c>
      <c r="R460" s="9"/>
      <c r="S460" s="11"/>
    </row>
    <row r="461" spans="1:19" ht="15.75">
      <c r="A461" s="13">
        <v>55549</v>
      </c>
      <c r="B461" s="8">
        <f>13.6833 * CHOOSE(CONTROL!$C$15, $D$11, 100%, $F$11)</f>
        <v>13.683299999999999</v>
      </c>
      <c r="C461" s="8">
        <f>13.6941 * CHOOSE(CONTROL!$C$15, $D$11, 100%, $F$11)</f>
        <v>13.694100000000001</v>
      </c>
      <c r="D461" s="8">
        <f>13.6757 * CHOOSE( CONTROL!$C$15, $D$11, 100%, $F$11)</f>
        <v>13.675700000000001</v>
      </c>
      <c r="E461" s="12">
        <f>13.6813 * CHOOSE( CONTROL!$C$15, $D$11, 100%, $F$11)</f>
        <v>13.6813</v>
      </c>
      <c r="F461" s="4">
        <f>14.3444 * CHOOSE(CONTROL!$C$15, $D$11, 100%, $F$11)</f>
        <v>14.3444</v>
      </c>
      <c r="G461" s="8">
        <f>13.3705 * CHOOSE( CONTROL!$C$15, $D$11, 100%, $F$11)</f>
        <v>13.3705</v>
      </c>
      <c r="H461" s="4">
        <f>14.2586 * CHOOSE(CONTROL!$C$15, $D$11, 100%, $F$11)</f>
        <v>14.258599999999999</v>
      </c>
      <c r="I461" s="8">
        <f>13.2488 * CHOOSE(CONTROL!$C$15, $D$11, 100%, $F$11)</f>
        <v>13.248799999999999</v>
      </c>
      <c r="J461" s="4">
        <f>13.1229 * CHOOSE(CONTROL!$C$15, $D$11, 100%, $F$11)</f>
        <v>13.1229</v>
      </c>
      <c r="K461" s="4"/>
      <c r="L461" s="9">
        <v>29.306000000000001</v>
      </c>
      <c r="M461" s="9">
        <v>12.063700000000001</v>
      </c>
      <c r="N461" s="9">
        <v>4.9444999999999997</v>
      </c>
      <c r="O461" s="9">
        <v>0.37409999999999999</v>
      </c>
      <c r="P461" s="9">
        <v>1.2927</v>
      </c>
      <c r="Q461" s="9">
        <v>19.942900000000002</v>
      </c>
      <c r="R461" s="9"/>
      <c r="S461" s="11"/>
    </row>
    <row r="462" spans="1:19" ht="15.75">
      <c r="A462" s="13">
        <v>55577</v>
      </c>
      <c r="B462" s="8">
        <f>12.7997 * CHOOSE(CONTROL!$C$15, $D$11, 100%, $F$11)</f>
        <v>12.7997</v>
      </c>
      <c r="C462" s="8">
        <f>12.8104 * CHOOSE(CONTROL!$C$15, $D$11, 100%, $F$11)</f>
        <v>12.8104</v>
      </c>
      <c r="D462" s="8">
        <f>12.7919 * CHOOSE( CONTROL!$C$15, $D$11, 100%, $F$11)</f>
        <v>12.7919</v>
      </c>
      <c r="E462" s="12">
        <f>12.7975 * CHOOSE( CONTROL!$C$15, $D$11, 100%, $F$11)</f>
        <v>12.797499999999999</v>
      </c>
      <c r="F462" s="4">
        <f>13.4608 * CHOOSE(CONTROL!$C$15, $D$11, 100%, $F$11)</f>
        <v>13.460800000000001</v>
      </c>
      <c r="G462" s="8">
        <f>12.5064 * CHOOSE( CONTROL!$C$15, $D$11, 100%, $F$11)</f>
        <v>12.506399999999999</v>
      </c>
      <c r="H462" s="4">
        <f>13.3947 * CHOOSE(CONTROL!$C$15, $D$11, 100%, $F$11)</f>
        <v>13.3947</v>
      </c>
      <c r="I462" s="8">
        <f>12.3995 * CHOOSE(CONTROL!$C$15, $D$11, 100%, $F$11)</f>
        <v>12.3995</v>
      </c>
      <c r="J462" s="4">
        <f>12.2745 * CHOOSE(CONTROL!$C$15, $D$11, 100%, $F$11)</f>
        <v>12.2745</v>
      </c>
      <c r="K462" s="4"/>
      <c r="L462" s="9">
        <v>27.415299999999998</v>
      </c>
      <c r="M462" s="9">
        <v>11.285299999999999</v>
      </c>
      <c r="N462" s="9">
        <v>4.6254999999999997</v>
      </c>
      <c r="O462" s="9">
        <v>0.34989999999999999</v>
      </c>
      <c r="P462" s="9">
        <v>1.2093</v>
      </c>
      <c r="Q462" s="9">
        <v>18.656300000000002</v>
      </c>
      <c r="R462" s="9"/>
      <c r="S462" s="11"/>
    </row>
    <row r="463" spans="1:19" ht="15.75">
      <c r="A463" s="13">
        <v>55609</v>
      </c>
      <c r="B463" s="8">
        <f>12.5275 * CHOOSE(CONTROL!$C$15, $D$11, 100%, $F$11)</f>
        <v>12.5275</v>
      </c>
      <c r="C463" s="8">
        <f>12.5383 * CHOOSE(CONTROL!$C$15, $D$11, 100%, $F$11)</f>
        <v>12.5383</v>
      </c>
      <c r="D463" s="8">
        <f>12.5192 * CHOOSE( CONTROL!$C$15, $D$11, 100%, $F$11)</f>
        <v>12.5192</v>
      </c>
      <c r="E463" s="12">
        <f>12.525 * CHOOSE( CONTROL!$C$15, $D$11, 100%, $F$11)</f>
        <v>12.525</v>
      </c>
      <c r="F463" s="4">
        <f>13.1886 * CHOOSE(CONTROL!$C$15, $D$11, 100%, $F$11)</f>
        <v>13.188599999999999</v>
      </c>
      <c r="G463" s="8">
        <f>12.24 * CHOOSE( CONTROL!$C$15, $D$11, 100%, $F$11)</f>
        <v>12.24</v>
      </c>
      <c r="H463" s="4">
        <f>13.1286 * CHOOSE(CONTROL!$C$15, $D$11, 100%, $F$11)</f>
        <v>13.1286</v>
      </c>
      <c r="I463" s="8">
        <f>12.1365 * CHOOSE(CONTROL!$C$15, $D$11, 100%, $F$11)</f>
        <v>12.1365</v>
      </c>
      <c r="J463" s="4">
        <f>12.0132 * CHOOSE(CONTROL!$C$15, $D$11, 100%, $F$11)</f>
        <v>12.013199999999999</v>
      </c>
      <c r="K463" s="4"/>
      <c r="L463" s="9">
        <v>29.306000000000001</v>
      </c>
      <c r="M463" s="9">
        <v>12.063700000000001</v>
      </c>
      <c r="N463" s="9">
        <v>4.9444999999999997</v>
      </c>
      <c r="O463" s="9">
        <v>0.37409999999999999</v>
      </c>
      <c r="P463" s="9">
        <v>1.2927</v>
      </c>
      <c r="Q463" s="9">
        <v>19.942900000000002</v>
      </c>
      <c r="R463" s="9"/>
      <c r="S463" s="11"/>
    </row>
    <row r="464" spans="1:19" ht="15.75">
      <c r="A464" s="13">
        <v>55639</v>
      </c>
      <c r="B464" s="8">
        <f>12.7176 * CHOOSE(CONTROL!$C$15, $D$11, 100%, $F$11)</f>
        <v>12.717599999999999</v>
      </c>
      <c r="C464" s="8">
        <f>12.7284 * CHOOSE(CONTROL!$C$15, $D$11, 100%, $F$11)</f>
        <v>12.728400000000001</v>
      </c>
      <c r="D464" s="8">
        <f>12.7632 * CHOOSE( CONTROL!$C$15, $D$11, 100%, $F$11)</f>
        <v>12.763199999999999</v>
      </c>
      <c r="E464" s="12">
        <f>12.7505 * CHOOSE( CONTROL!$C$15, $D$11, 100%, $F$11)</f>
        <v>12.750500000000001</v>
      </c>
      <c r="F464" s="4">
        <f>13.4465 * CHOOSE(CONTROL!$C$15, $D$11, 100%, $F$11)</f>
        <v>13.4465</v>
      </c>
      <c r="G464" s="8">
        <f>12.4287 * CHOOSE( CONTROL!$C$15, $D$11, 100%, $F$11)</f>
        <v>12.428699999999999</v>
      </c>
      <c r="H464" s="4">
        <f>13.3808 * CHOOSE(CONTROL!$C$15, $D$11, 100%, $F$11)</f>
        <v>13.380800000000001</v>
      </c>
      <c r="I464" s="8">
        <f>12.3145 * CHOOSE(CONTROL!$C$15, $D$11, 100%, $F$11)</f>
        <v>12.314500000000001</v>
      </c>
      <c r="J464" s="4">
        <f>12.1958 * CHOOSE(CONTROL!$C$15, $D$11, 100%, $F$11)</f>
        <v>12.1958</v>
      </c>
      <c r="K464" s="4"/>
      <c r="L464" s="9">
        <v>30.092199999999998</v>
      </c>
      <c r="M464" s="9">
        <v>11.6745</v>
      </c>
      <c r="N464" s="9">
        <v>4.7850000000000001</v>
      </c>
      <c r="O464" s="9">
        <v>0.36199999999999999</v>
      </c>
      <c r="P464" s="9">
        <v>1.1791</v>
      </c>
      <c r="Q464" s="9">
        <v>19.299600000000002</v>
      </c>
      <c r="R464" s="9"/>
      <c r="S464" s="11"/>
    </row>
    <row r="465" spans="1:19" ht="15.75">
      <c r="A465" s="13">
        <v>55670</v>
      </c>
      <c r="B465" s="8">
        <f>CHOOSE( CONTROL!$C$32, 13.0583, 13.056) * CHOOSE(CONTROL!$C$15, $D$11, 100%, $F$11)</f>
        <v>13.058299999999999</v>
      </c>
      <c r="C465" s="8">
        <f>CHOOSE( CONTROL!$C$32, 13.0689, 13.0666) * CHOOSE(CONTROL!$C$15, $D$11, 100%, $F$11)</f>
        <v>13.068899999999999</v>
      </c>
      <c r="D465" s="8">
        <f>CHOOSE( CONTROL!$C$32, 13.1027, 13.1004) * CHOOSE( CONTROL!$C$15, $D$11, 100%, $F$11)</f>
        <v>13.1027</v>
      </c>
      <c r="E465" s="12">
        <f>CHOOSE( CONTROL!$C$32, 13.0888, 13.0865) * CHOOSE( CONTROL!$C$15, $D$11, 100%, $F$11)</f>
        <v>13.088800000000001</v>
      </c>
      <c r="F465" s="4">
        <f>CHOOSE( CONTROL!$C$32, 13.7873, 13.785) * CHOOSE(CONTROL!$C$15, $D$11, 100%, $F$11)</f>
        <v>13.7873</v>
      </c>
      <c r="G465" s="8">
        <f>CHOOSE( CONTROL!$C$32, 12.7623, 12.7601) * CHOOSE( CONTROL!$C$15, $D$11, 100%, $F$11)</f>
        <v>12.7623</v>
      </c>
      <c r="H465" s="4">
        <f>CHOOSE( CONTROL!$C$32, 13.7139, 13.7117) * CHOOSE(CONTROL!$C$15, $D$11, 100%, $F$11)</f>
        <v>13.713900000000001</v>
      </c>
      <c r="I465" s="8">
        <f>CHOOSE( CONTROL!$C$32, 12.6419, 12.6397) * CHOOSE(CONTROL!$C$15, $D$11, 100%, $F$11)</f>
        <v>12.6419</v>
      </c>
      <c r="J465" s="4">
        <f>CHOOSE( CONTROL!$C$32, 12.523, 12.5208) * CHOOSE(CONTROL!$C$15, $D$11, 100%, $F$11)</f>
        <v>12.523</v>
      </c>
      <c r="K465" s="4"/>
      <c r="L465" s="9">
        <v>30.7165</v>
      </c>
      <c r="M465" s="9">
        <v>12.063700000000001</v>
      </c>
      <c r="N465" s="9">
        <v>4.9444999999999997</v>
      </c>
      <c r="O465" s="9">
        <v>0.37409999999999999</v>
      </c>
      <c r="P465" s="9">
        <v>1.2183999999999999</v>
      </c>
      <c r="Q465" s="9">
        <v>19.942900000000002</v>
      </c>
      <c r="R465" s="9"/>
      <c r="S465" s="11"/>
    </row>
    <row r="466" spans="1:19" ht="15.75">
      <c r="A466" s="13">
        <v>55700</v>
      </c>
      <c r="B466" s="8">
        <f>CHOOSE( CONTROL!$C$32, 12.8486, 12.8463) * CHOOSE(CONTROL!$C$15, $D$11, 100%, $F$11)</f>
        <v>12.848599999999999</v>
      </c>
      <c r="C466" s="8">
        <f>CHOOSE( CONTROL!$C$32, 12.8592, 12.8569) * CHOOSE(CONTROL!$C$15, $D$11, 100%, $F$11)</f>
        <v>12.8592</v>
      </c>
      <c r="D466" s="8">
        <f>CHOOSE( CONTROL!$C$32, 12.8932, 12.8909) * CHOOSE( CONTROL!$C$15, $D$11, 100%, $F$11)</f>
        <v>12.8932</v>
      </c>
      <c r="E466" s="12">
        <f>CHOOSE( CONTROL!$C$32, 12.8793, 12.877) * CHOOSE( CONTROL!$C$15, $D$11, 100%, $F$11)</f>
        <v>12.879300000000001</v>
      </c>
      <c r="F466" s="4">
        <f>CHOOSE( CONTROL!$C$32, 13.5776, 13.5753) * CHOOSE(CONTROL!$C$15, $D$11, 100%, $F$11)</f>
        <v>13.5776</v>
      </c>
      <c r="G466" s="8">
        <f>CHOOSE( CONTROL!$C$32, 12.5576, 12.5553) * CHOOSE( CONTROL!$C$15, $D$11, 100%, $F$11)</f>
        <v>12.557600000000001</v>
      </c>
      <c r="H466" s="4">
        <f>CHOOSE( CONTROL!$C$32, 13.5089, 13.5067) * CHOOSE(CONTROL!$C$15, $D$11, 100%, $F$11)</f>
        <v>13.508900000000001</v>
      </c>
      <c r="I466" s="8">
        <f>CHOOSE( CONTROL!$C$32, 12.4413, 12.439) * CHOOSE(CONTROL!$C$15, $D$11, 100%, $F$11)</f>
        <v>12.4413</v>
      </c>
      <c r="J466" s="4">
        <f>CHOOSE( CONTROL!$C$32, 12.3217, 12.3194) * CHOOSE(CONTROL!$C$15, $D$11, 100%, $F$11)</f>
        <v>12.3217</v>
      </c>
      <c r="K466" s="4"/>
      <c r="L466" s="9">
        <v>29.7257</v>
      </c>
      <c r="M466" s="9">
        <v>11.6745</v>
      </c>
      <c r="N466" s="9">
        <v>4.7850000000000001</v>
      </c>
      <c r="O466" s="9">
        <v>0.36199999999999999</v>
      </c>
      <c r="P466" s="9">
        <v>1.1791</v>
      </c>
      <c r="Q466" s="9">
        <v>19.299600000000002</v>
      </c>
      <c r="R466" s="9"/>
      <c r="S466" s="11"/>
    </row>
    <row r="467" spans="1:19" ht="15.75">
      <c r="A467" s="13">
        <v>55731</v>
      </c>
      <c r="B467" s="8">
        <f>CHOOSE( CONTROL!$C$32, 13.4008, 13.3985) * CHOOSE(CONTROL!$C$15, $D$11, 100%, $F$11)</f>
        <v>13.4008</v>
      </c>
      <c r="C467" s="8">
        <f>CHOOSE( CONTROL!$C$32, 13.4114, 13.4091) * CHOOSE(CONTROL!$C$15, $D$11, 100%, $F$11)</f>
        <v>13.4114</v>
      </c>
      <c r="D467" s="8">
        <f>CHOOSE( CONTROL!$C$32, 13.4456, 13.4433) * CHOOSE( CONTROL!$C$15, $D$11, 100%, $F$11)</f>
        <v>13.445600000000001</v>
      </c>
      <c r="E467" s="12">
        <f>CHOOSE( CONTROL!$C$32, 13.4316, 13.4293) * CHOOSE( CONTROL!$C$15, $D$11, 100%, $F$11)</f>
        <v>13.4316</v>
      </c>
      <c r="F467" s="4">
        <f>CHOOSE( CONTROL!$C$32, 14.1297, 14.1274) * CHOOSE(CONTROL!$C$15, $D$11, 100%, $F$11)</f>
        <v>14.1297</v>
      </c>
      <c r="G467" s="8">
        <f>CHOOSE( CONTROL!$C$32, 13.0977, 13.0955) * CHOOSE( CONTROL!$C$15, $D$11, 100%, $F$11)</f>
        <v>13.0977</v>
      </c>
      <c r="H467" s="4">
        <f>CHOOSE( CONTROL!$C$32, 14.0488, 14.0465) * CHOOSE(CONTROL!$C$15, $D$11, 100%, $F$11)</f>
        <v>14.0488</v>
      </c>
      <c r="I467" s="8">
        <f>CHOOSE( CONTROL!$C$32, 12.9726, 12.9704) * CHOOSE(CONTROL!$C$15, $D$11, 100%, $F$11)</f>
        <v>12.9726</v>
      </c>
      <c r="J467" s="4">
        <f>CHOOSE( CONTROL!$C$32, 12.8518, 12.8496) * CHOOSE(CONTROL!$C$15, $D$11, 100%, $F$11)</f>
        <v>12.851800000000001</v>
      </c>
      <c r="K467" s="4"/>
      <c r="L467" s="9">
        <v>30.7165</v>
      </c>
      <c r="M467" s="9">
        <v>12.063700000000001</v>
      </c>
      <c r="N467" s="9">
        <v>4.9444999999999997</v>
      </c>
      <c r="O467" s="9">
        <v>0.37409999999999999</v>
      </c>
      <c r="P467" s="9">
        <v>1.2183999999999999</v>
      </c>
      <c r="Q467" s="9">
        <v>19.942900000000002</v>
      </c>
      <c r="R467" s="9"/>
      <c r="S467" s="11"/>
    </row>
    <row r="468" spans="1:19" ht="15.75">
      <c r="A468" s="13">
        <v>55762</v>
      </c>
      <c r="B468" s="8">
        <f>CHOOSE( CONTROL!$C$32, 12.3677, 12.3654) * CHOOSE(CONTROL!$C$15, $D$11, 100%, $F$11)</f>
        <v>12.367699999999999</v>
      </c>
      <c r="C468" s="8">
        <f>CHOOSE( CONTROL!$C$32, 12.3782, 12.3759) * CHOOSE(CONTROL!$C$15, $D$11, 100%, $F$11)</f>
        <v>12.3782</v>
      </c>
      <c r="D468" s="8">
        <f>CHOOSE( CONTROL!$C$32, 12.4125, 12.4102) * CHOOSE( CONTROL!$C$15, $D$11, 100%, $F$11)</f>
        <v>12.4125</v>
      </c>
      <c r="E468" s="12">
        <f>CHOOSE( CONTROL!$C$32, 12.3985, 12.3962) * CHOOSE( CONTROL!$C$15, $D$11, 100%, $F$11)</f>
        <v>12.3985</v>
      </c>
      <c r="F468" s="4">
        <f>CHOOSE( CONTROL!$C$32, 13.0966, 13.0943) * CHOOSE(CONTROL!$C$15, $D$11, 100%, $F$11)</f>
        <v>13.0966</v>
      </c>
      <c r="G468" s="8">
        <f>CHOOSE( CONTROL!$C$32, 12.0878, 12.0855) * CHOOSE( CONTROL!$C$15, $D$11, 100%, $F$11)</f>
        <v>12.0878</v>
      </c>
      <c r="H468" s="4">
        <f>CHOOSE( CONTROL!$C$32, 13.0387, 13.0364) * CHOOSE(CONTROL!$C$15, $D$11, 100%, $F$11)</f>
        <v>13.0387</v>
      </c>
      <c r="I468" s="8">
        <f>CHOOSE( CONTROL!$C$32, 11.9805, 11.9783) * CHOOSE(CONTROL!$C$15, $D$11, 100%, $F$11)</f>
        <v>11.980499999999999</v>
      </c>
      <c r="J468" s="4">
        <f>CHOOSE( CONTROL!$C$32, 11.8599, 11.8577) * CHOOSE(CONTROL!$C$15, $D$11, 100%, $F$11)</f>
        <v>11.8599</v>
      </c>
      <c r="K468" s="4"/>
      <c r="L468" s="9">
        <v>30.7165</v>
      </c>
      <c r="M468" s="9">
        <v>12.063700000000001</v>
      </c>
      <c r="N468" s="9">
        <v>4.9444999999999997</v>
      </c>
      <c r="O468" s="9">
        <v>0.37409999999999999</v>
      </c>
      <c r="P468" s="9">
        <v>1.2183999999999999</v>
      </c>
      <c r="Q468" s="9">
        <v>19.942900000000002</v>
      </c>
      <c r="R468" s="9"/>
      <c r="S468" s="11"/>
    </row>
    <row r="469" spans="1:19" ht="15.75">
      <c r="A469" s="13">
        <v>55792</v>
      </c>
      <c r="B469" s="8">
        <f>CHOOSE( CONTROL!$C$32, 12.109, 12.1067) * CHOOSE(CONTROL!$C$15, $D$11, 100%, $F$11)</f>
        <v>12.109</v>
      </c>
      <c r="C469" s="8">
        <f>CHOOSE( CONTROL!$C$32, 12.1195, 12.1172) * CHOOSE(CONTROL!$C$15, $D$11, 100%, $F$11)</f>
        <v>12.1195</v>
      </c>
      <c r="D469" s="8">
        <f>CHOOSE( CONTROL!$C$32, 12.1538, 12.1515) * CHOOSE( CONTROL!$C$15, $D$11, 100%, $F$11)</f>
        <v>12.1538</v>
      </c>
      <c r="E469" s="12">
        <f>CHOOSE( CONTROL!$C$32, 12.1398, 12.1375) * CHOOSE( CONTROL!$C$15, $D$11, 100%, $F$11)</f>
        <v>12.139799999999999</v>
      </c>
      <c r="F469" s="4">
        <f>CHOOSE( CONTROL!$C$32, 12.8379, 12.8356) * CHOOSE(CONTROL!$C$15, $D$11, 100%, $F$11)</f>
        <v>12.837899999999999</v>
      </c>
      <c r="G469" s="8">
        <f>CHOOSE( CONTROL!$C$32, 11.8348, 11.8325) * CHOOSE( CONTROL!$C$15, $D$11, 100%, $F$11)</f>
        <v>11.8348</v>
      </c>
      <c r="H469" s="4">
        <f>CHOOSE( CONTROL!$C$32, 12.7857, 12.7835) * CHOOSE(CONTROL!$C$15, $D$11, 100%, $F$11)</f>
        <v>12.7857</v>
      </c>
      <c r="I469" s="8">
        <f>CHOOSE( CONTROL!$C$32, 11.7319, 11.7297) * CHOOSE(CONTROL!$C$15, $D$11, 100%, $F$11)</f>
        <v>11.7319</v>
      </c>
      <c r="J469" s="4">
        <f>CHOOSE( CONTROL!$C$32, 11.6115, 11.6093) * CHOOSE(CONTROL!$C$15, $D$11, 100%, $F$11)</f>
        <v>11.611499999999999</v>
      </c>
      <c r="K469" s="4"/>
      <c r="L469" s="9">
        <v>29.7257</v>
      </c>
      <c r="M469" s="9">
        <v>11.6745</v>
      </c>
      <c r="N469" s="9">
        <v>4.7850000000000001</v>
      </c>
      <c r="O469" s="9">
        <v>0.36199999999999999</v>
      </c>
      <c r="P469" s="9">
        <v>1.1791</v>
      </c>
      <c r="Q469" s="9">
        <v>19.299600000000002</v>
      </c>
      <c r="R469" s="9"/>
      <c r="S469" s="11"/>
    </row>
    <row r="470" spans="1:19" ht="15.75">
      <c r="A470" s="13">
        <v>55823</v>
      </c>
      <c r="B470" s="8">
        <f>12.6439 * CHOOSE(CONTROL!$C$15, $D$11, 100%, $F$11)</f>
        <v>12.6439</v>
      </c>
      <c r="C470" s="8">
        <f>12.6547 * CHOOSE(CONTROL!$C$15, $D$11, 100%, $F$11)</f>
        <v>12.6547</v>
      </c>
      <c r="D470" s="8">
        <f>12.6901 * CHOOSE( CONTROL!$C$15, $D$11, 100%, $F$11)</f>
        <v>12.690099999999999</v>
      </c>
      <c r="E470" s="12">
        <f>12.6773 * CHOOSE( CONTROL!$C$15, $D$11, 100%, $F$11)</f>
        <v>12.677300000000001</v>
      </c>
      <c r="F470" s="4">
        <f>13.3728 * CHOOSE(CONTROL!$C$15, $D$11, 100%, $F$11)</f>
        <v>13.3728</v>
      </c>
      <c r="G470" s="8">
        <f>12.3575 * CHOOSE( CONTROL!$C$15, $D$11, 100%, $F$11)</f>
        <v>12.3575</v>
      </c>
      <c r="H470" s="4">
        <f>13.3087 * CHOOSE(CONTROL!$C$15, $D$11, 100%, $F$11)</f>
        <v>13.3087</v>
      </c>
      <c r="I470" s="8">
        <f>12.2465 * CHOOSE(CONTROL!$C$15, $D$11, 100%, $F$11)</f>
        <v>12.246499999999999</v>
      </c>
      <c r="J470" s="4">
        <f>12.125 * CHOOSE(CONTROL!$C$15, $D$11, 100%, $F$11)</f>
        <v>12.125</v>
      </c>
      <c r="K470" s="4"/>
      <c r="L470" s="9">
        <v>31.095300000000002</v>
      </c>
      <c r="M470" s="9">
        <v>12.063700000000001</v>
      </c>
      <c r="N470" s="9">
        <v>4.9444999999999997</v>
      </c>
      <c r="O470" s="9">
        <v>0.37409999999999999</v>
      </c>
      <c r="P470" s="9">
        <v>1.2183999999999999</v>
      </c>
      <c r="Q470" s="9">
        <v>19.942900000000002</v>
      </c>
      <c r="R470" s="9"/>
      <c r="S470" s="11"/>
    </row>
    <row r="471" spans="1:19" ht="15.75">
      <c r="A471" s="13">
        <v>55853</v>
      </c>
      <c r="B471" s="8">
        <f>13.6355 * CHOOSE(CONTROL!$C$15, $D$11, 100%, $F$11)</f>
        <v>13.6355</v>
      </c>
      <c r="C471" s="8">
        <f>13.6462 * CHOOSE(CONTROL!$C$15, $D$11, 100%, $F$11)</f>
        <v>13.6462</v>
      </c>
      <c r="D471" s="8">
        <f>13.6223 * CHOOSE( CONTROL!$C$15, $D$11, 100%, $F$11)</f>
        <v>13.622299999999999</v>
      </c>
      <c r="E471" s="12">
        <f>13.6299 * CHOOSE( CONTROL!$C$15, $D$11, 100%, $F$11)</f>
        <v>13.629899999999999</v>
      </c>
      <c r="F471" s="4">
        <f>14.2966 * CHOOSE(CONTROL!$C$15, $D$11, 100%, $F$11)</f>
        <v>14.2966</v>
      </c>
      <c r="G471" s="8">
        <f>13.3269 * CHOOSE( CONTROL!$C$15, $D$11, 100%, $F$11)</f>
        <v>13.3269</v>
      </c>
      <c r="H471" s="4">
        <f>14.2119 * CHOOSE(CONTROL!$C$15, $D$11, 100%, $F$11)</f>
        <v>14.2119</v>
      </c>
      <c r="I471" s="8">
        <f>13.2423 * CHOOSE(CONTROL!$C$15, $D$11, 100%, $F$11)</f>
        <v>13.2423</v>
      </c>
      <c r="J471" s="4">
        <f>13.0769 * CHOOSE(CONTROL!$C$15, $D$11, 100%, $F$11)</f>
        <v>13.0769</v>
      </c>
      <c r="K471" s="4"/>
      <c r="L471" s="9">
        <v>28.360600000000002</v>
      </c>
      <c r="M471" s="9">
        <v>11.6745</v>
      </c>
      <c r="N471" s="9">
        <v>4.7850000000000001</v>
      </c>
      <c r="O471" s="9">
        <v>0.36199999999999999</v>
      </c>
      <c r="P471" s="9">
        <v>1.2509999999999999</v>
      </c>
      <c r="Q471" s="9">
        <v>19.299600000000002</v>
      </c>
      <c r="R471" s="9"/>
      <c r="S471" s="11"/>
    </row>
    <row r="472" spans="1:19" ht="15.75">
      <c r="A472" s="13">
        <v>55884</v>
      </c>
      <c r="B472" s="8">
        <f>13.6107 * CHOOSE(CONTROL!$C$15, $D$11, 100%, $F$11)</f>
        <v>13.6107</v>
      </c>
      <c r="C472" s="8">
        <f>13.6214 * CHOOSE(CONTROL!$C$15, $D$11, 100%, $F$11)</f>
        <v>13.6214</v>
      </c>
      <c r="D472" s="8">
        <f>13.5992 * CHOOSE( CONTROL!$C$15, $D$11, 100%, $F$11)</f>
        <v>13.5992</v>
      </c>
      <c r="E472" s="12">
        <f>13.6062 * CHOOSE( CONTROL!$C$15, $D$11, 100%, $F$11)</f>
        <v>13.606199999999999</v>
      </c>
      <c r="F472" s="4">
        <f>14.2718 * CHOOSE(CONTROL!$C$15, $D$11, 100%, $F$11)</f>
        <v>14.271800000000001</v>
      </c>
      <c r="G472" s="8">
        <f>13.3039 * CHOOSE( CONTROL!$C$15, $D$11, 100%, $F$11)</f>
        <v>13.303900000000001</v>
      </c>
      <c r="H472" s="4">
        <f>14.1876 * CHOOSE(CONTROL!$C$15, $D$11, 100%, $F$11)</f>
        <v>14.1876</v>
      </c>
      <c r="I472" s="8">
        <f>13.2237 * CHOOSE(CONTROL!$C$15, $D$11, 100%, $F$11)</f>
        <v>13.223699999999999</v>
      </c>
      <c r="J472" s="4">
        <f>13.0531 * CHOOSE(CONTROL!$C$15, $D$11, 100%, $F$11)</f>
        <v>13.053100000000001</v>
      </c>
      <c r="K472" s="4"/>
      <c r="L472" s="9">
        <v>29.306000000000001</v>
      </c>
      <c r="M472" s="9">
        <v>12.063700000000001</v>
      </c>
      <c r="N472" s="9">
        <v>4.9444999999999997</v>
      </c>
      <c r="O472" s="9">
        <v>0.37409999999999999</v>
      </c>
      <c r="P472" s="9">
        <v>1.2927</v>
      </c>
      <c r="Q472" s="9">
        <v>19.942900000000002</v>
      </c>
      <c r="R472" s="9"/>
      <c r="S472" s="11"/>
    </row>
    <row r="473" spans="1:19" ht="15.75">
      <c r="A473" s="13">
        <v>55915</v>
      </c>
      <c r="B473" s="8">
        <f>14.0117 * CHOOSE(CONTROL!$C$15, $D$11, 100%, $F$11)</f>
        <v>14.011699999999999</v>
      </c>
      <c r="C473" s="8">
        <f>14.0225 * CHOOSE(CONTROL!$C$15, $D$11, 100%, $F$11)</f>
        <v>14.022500000000001</v>
      </c>
      <c r="D473" s="8">
        <f>14.0041 * CHOOSE( CONTROL!$C$15, $D$11, 100%, $F$11)</f>
        <v>14.004099999999999</v>
      </c>
      <c r="E473" s="12">
        <f>14.0097 * CHOOSE( CONTROL!$C$15, $D$11, 100%, $F$11)</f>
        <v>14.0097</v>
      </c>
      <c r="F473" s="4">
        <f>14.6728 * CHOOSE(CONTROL!$C$15, $D$11, 100%, $F$11)</f>
        <v>14.672800000000001</v>
      </c>
      <c r="G473" s="8">
        <f>13.6916 * CHOOSE( CONTROL!$C$15, $D$11, 100%, $F$11)</f>
        <v>13.691599999999999</v>
      </c>
      <c r="H473" s="4">
        <f>14.5797 * CHOOSE(CONTROL!$C$15, $D$11, 100%, $F$11)</f>
        <v>14.579700000000001</v>
      </c>
      <c r="I473" s="8">
        <f>13.5642 * CHOOSE(CONTROL!$C$15, $D$11, 100%, $F$11)</f>
        <v>13.5642</v>
      </c>
      <c r="J473" s="4">
        <f>13.4382 * CHOOSE(CONTROL!$C$15, $D$11, 100%, $F$11)</f>
        <v>13.4382</v>
      </c>
      <c r="K473" s="4"/>
      <c r="L473" s="9">
        <v>29.306000000000001</v>
      </c>
      <c r="M473" s="9">
        <v>12.063700000000001</v>
      </c>
      <c r="N473" s="9">
        <v>4.9444999999999997</v>
      </c>
      <c r="O473" s="9">
        <v>0.37409999999999999</v>
      </c>
      <c r="P473" s="9">
        <v>1.2927</v>
      </c>
      <c r="Q473" s="9">
        <v>19.877800000000001</v>
      </c>
      <c r="R473" s="9"/>
      <c r="S473" s="11"/>
    </row>
    <row r="474" spans="1:19" ht="15.75">
      <c r="A474" s="13">
        <v>55943</v>
      </c>
      <c r="B474" s="8">
        <f>13.1068 * CHOOSE(CONTROL!$C$15, $D$11, 100%, $F$11)</f>
        <v>13.1068</v>
      </c>
      <c r="C474" s="8">
        <f>13.1176 * CHOOSE(CONTROL!$C$15, $D$11, 100%, $F$11)</f>
        <v>13.117599999999999</v>
      </c>
      <c r="D474" s="8">
        <f>13.0991 * CHOOSE( CONTROL!$C$15, $D$11, 100%, $F$11)</f>
        <v>13.0991</v>
      </c>
      <c r="E474" s="12">
        <f>13.1047 * CHOOSE( CONTROL!$C$15, $D$11, 100%, $F$11)</f>
        <v>13.104699999999999</v>
      </c>
      <c r="F474" s="4">
        <f>13.768 * CHOOSE(CONTROL!$C$15, $D$11, 100%, $F$11)</f>
        <v>13.768000000000001</v>
      </c>
      <c r="G474" s="8">
        <f>12.8068 * CHOOSE( CONTROL!$C$15, $D$11, 100%, $F$11)</f>
        <v>12.806800000000001</v>
      </c>
      <c r="H474" s="4">
        <f>13.695 * CHOOSE(CONTROL!$C$15, $D$11, 100%, $F$11)</f>
        <v>13.695</v>
      </c>
      <c r="I474" s="8">
        <f>12.6946 * CHOOSE(CONTROL!$C$15, $D$11, 100%, $F$11)</f>
        <v>12.694599999999999</v>
      </c>
      <c r="J474" s="4">
        <f>12.5694 * CHOOSE(CONTROL!$C$15, $D$11, 100%, $F$11)</f>
        <v>12.5694</v>
      </c>
      <c r="K474" s="4"/>
      <c r="L474" s="9">
        <v>26.469899999999999</v>
      </c>
      <c r="M474" s="9">
        <v>10.8962</v>
      </c>
      <c r="N474" s="9">
        <v>4.4660000000000002</v>
      </c>
      <c r="O474" s="9">
        <v>0.33789999999999998</v>
      </c>
      <c r="P474" s="9">
        <v>1.1676</v>
      </c>
      <c r="Q474" s="9">
        <v>17.9542</v>
      </c>
      <c r="R474" s="9"/>
      <c r="S474" s="11"/>
    </row>
    <row r="475" spans="1:19" ht="15.75">
      <c r="A475" s="13">
        <v>55974</v>
      </c>
      <c r="B475" s="8">
        <f>12.8282 * CHOOSE(CONTROL!$C$15, $D$11, 100%, $F$11)</f>
        <v>12.828200000000001</v>
      </c>
      <c r="C475" s="8">
        <f>12.8389 * CHOOSE(CONTROL!$C$15, $D$11, 100%, $F$11)</f>
        <v>12.838900000000001</v>
      </c>
      <c r="D475" s="8">
        <f>12.8199 * CHOOSE( CONTROL!$C$15, $D$11, 100%, $F$11)</f>
        <v>12.819900000000001</v>
      </c>
      <c r="E475" s="12">
        <f>12.8257 * CHOOSE( CONTROL!$C$15, $D$11, 100%, $F$11)</f>
        <v>12.825699999999999</v>
      </c>
      <c r="F475" s="4">
        <f>13.4893 * CHOOSE(CONTROL!$C$15, $D$11, 100%, $F$11)</f>
        <v>13.4893</v>
      </c>
      <c r="G475" s="8">
        <f>12.5339 * CHOOSE( CONTROL!$C$15, $D$11, 100%, $F$11)</f>
        <v>12.533899999999999</v>
      </c>
      <c r="H475" s="4">
        <f>13.4226 * CHOOSE(CONTROL!$C$15, $D$11, 100%, $F$11)</f>
        <v>13.422599999999999</v>
      </c>
      <c r="I475" s="8">
        <f>12.4253 * CHOOSE(CONTROL!$C$15, $D$11, 100%, $F$11)</f>
        <v>12.4253</v>
      </c>
      <c r="J475" s="4">
        <f>12.3018 * CHOOSE(CONTROL!$C$15, $D$11, 100%, $F$11)</f>
        <v>12.3018</v>
      </c>
      <c r="K475" s="4"/>
      <c r="L475" s="9">
        <v>29.306000000000001</v>
      </c>
      <c r="M475" s="9">
        <v>12.063700000000001</v>
      </c>
      <c r="N475" s="9">
        <v>4.9444999999999997</v>
      </c>
      <c r="O475" s="9">
        <v>0.37409999999999999</v>
      </c>
      <c r="P475" s="9">
        <v>1.2927</v>
      </c>
      <c r="Q475" s="9">
        <v>19.877800000000001</v>
      </c>
      <c r="R475" s="9"/>
      <c r="S475" s="11"/>
    </row>
    <row r="476" spans="1:19" ht="15.75">
      <c r="A476" s="13">
        <v>56004</v>
      </c>
      <c r="B476" s="8">
        <f>13.0228 * CHOOSE(CONTROL!$C$15, $D$11, 100%, $F$11)</f>
        <v>13.0228</v>
      </c>
      <c r="C476" s="8">
        <f>13.0336 * CHOOSE(CONTROL!$C$15, $D$11, 100%, $F$11)</f>
        <v>13.0336</v>
      </c>
      <c r="D476" s="8">
        <f>13.0684 * CHOOSE( CONTROL!$C$15, $D$11, 100%, $F$11)</f>
        <v>13.0684</v>
      </c>
      <c r="E476" s="12">
        <f>13.0557 * CHOOSE( CONTROL!$C$15, $D$11, 100%, $F$11)</f>
        <v>13.0557</v>
      </c>
      <c r="F476" s="4">
        <f>13.7517 * CHOOSE(CONTROL!$C$15, $D$11, 100%, $F$11)</f>
        <v>13.7517</v>
      </c>
      <c r="G476" s="8">
        <f>12.7271 * CHOOSE( CONTROL!$C$15, $D$11, 100%, $F$11)</f>
        <v>12.7271</v>
      </c>
      <c r="H476" s="4">
        <f>13.6792 * CHOOSE(CONTROL!$C$15, $D$11, 100%, $F$11)</f>
        <v>13.6792</v>
      </c>
      <c r="I476" s="8">
        <f>12.6077 * CHOOSE(CONTROL!$C$15, $D$11, 100%, $F$11)</f>
        <v>12.607699999999999</v>
      </c>
      <c r="J476" s="4">
        <f>12.4888 * CHOOSE(CONTROL!$C$15, $D$11, 100%, $F$11)</f>
        <v>12.488799999999999</v>
      </c>
      <c r="K476" s="4"/>
      <c r="L476" s="9">
        <v>30.092199999999998</v>
      </c>
      <c r="M476" s="9">
        <v>11.6745</v>
      </c>
      <c r="N476" s="9">
        <v>4.7850000000000001</v>
      </c>
      <c r="O476" s="9">
        <v>0.36199999999999999</v>
      </c>
      <c r="P476" s="9">
        <v>1.1791</v>
      </c>
      <c r="Q476" s="9">
        <v>19.236599999999999</v>
      </c>
      <c r="R476" s="9"/>
      <c r="S476" s="11"/>
    </row>
    <row r="477" spans="1:19" ht="15.75">
      <c r="A477" s="13">
        <v>56035</v>
      </c>
      <c r="B477" s="8">
        <f>CHOOSE( CONTROL!$C$32, 13.3717, 13.3694) * CHOOSE(CONTROL!$C$15, $D$11, 100%, $F$11)</f>
        <v>13.371700000000001</v>
      </c>
      <c r="C477" s="8">
        <f>CHOOSE( CONTROL!$C$32, 13.3822, 13.3799) * CHOOSE(CONTROL!$C$15, $D$11, 100%, $F$11)</f>
        <v>13.382199999999999</v>
      </c>
      <c r="D477" s="8">
        <f>CHOOSE( CONTROL!$C$32, 13.4161, 13.4138) * CHOOSE( CONTROL!$C$15, $D$11, 100%, $F$11)</f>
        <v>13.4161</v>
      </c>
      <c r="E477" s="12">
        <f>CHOOSE( CONTROL!$C$32, 13.4022, 13.3999) * CHOOSE( CONTROL!$C$15, $D$11, 100%, $F$11)</f>
        <v>13.402200000000001</v>
      </c>
      <c r="F477" s="4">
        <f>CHOOSE( CONTROL!$C$32, 14.1006, 14.0983) * CHOOSE(CONTROL!$C$15, $D$11, 100%, $F$11)</f>
        <v>14.1006</v>
      </c>
      <c r="G477" s="8">
        <f>CHOOSE( CONTROL!$C$32, 13.0687, 13.0664) * CHOOSE( CONTROL!$C$15, $D$11, 100%, $F$11)</f>
        <v>13.0687</v>
      </c>
      <c r="H477" s="4">
        <f>CHOOSE( CONTROL!$C$32, 14.0203, 14.018) * CHOOSE(CONTROL!$C$15, $D$11, 100%, $F$11)</f>
        <v>14.020300000000001</v>
      </c>
      <c r="I477" s="8">
        <f>CHOOSE( CONTROL!$C$32, 12.9429, 12.9407) * CHOOSE(CONTROL!$C$15, $D$11, 100%, $F$11)</f>
        <v>12.9429</v>
      </c>
      <c r="J477" s="4">
        <f>CHOOSE( CONTROL!$C$32, 12.8238, 12.8216) * CHOOSE(CONTROL!$C$15, $D$11, 100%, $F$11)</f>
        <v>12.8238</v>
      </c>
      <c r="K477" s="4"/>
      <c r="L477" s="9">
        <v>30.7165</v>
      </c>
      <c r="M477" s="9">
        <v>12.063700000000001</v>
      </c>
      <c r="N477" s="9">
        <v>4.9444999999999997</v>
      </c>
      <c r="O477" s="9">
        <v>0.37409999999999999</v>
      </c>
      <c r="P477" s="9">
        <v>1.2183999999999999</v>
      </c>
      <c r="Q477" s="9">
        <v>19.877800000000001</v>
      </c>
      <c r="R477" s="9"/>
      <c r="S477" s="11"/>
    </row>
    <row r="478" spans="1:19" ht="15.75">
      <c r="A478" s="13">
        <v>56065</v>
      </c>
      <c r="B478" s="8">
        <f>CHOOSE( CONTROL!$C$32, 13.157, 13.1547) * CHOOSE(CONTROL!$C$15, $D$11, 100%, $F$11)</f>
        <v>13.157</v>
      </c>
      <c r="C478" s="8">
        <f>CHOOSE( CONTROL!$C$32, 13.1675, 13.1652) * CHOOSE(CONTROL!$C$15, $D$11, 100%, $F$11)</f>
        <v>13.1675</v>
      </c>
      <c r="D478" s="8">
        <f>CHOOSE( CONTROL!$C$32, 13.2015, 13.1992) * CHOOSE( CONTROL!$C$15, $D$11, 100%, $F$11)</f>
        <v>13.201499999999999</v>
      </c>
      <c r="E478" s="12">
        <f>CHOOSE( CONTROL!$C$32, 13.1876, 13.1853) * CHOOSE( CONTROL!$C$15, $D$11, 100%, $F$11)</f>
        <v>13.1876</v>
      </c>
      <c r="F478" s="4">
        <f>CHOOSE( CONTROL!$C$32, 13.8859, 13.8836) * CHOOSE(CONTROL!$C$15, $D$11, 100%, $F$11)</f>
        <v>13.885899999999999</v>
      </c>
      <c r="G478" s="8">
        <f>CHOOSE( CONTROL!$C$32, 12.859, 12.8568) * CHOOSE( CONTROL!$C$15, $D$11, 100%, $F$11)</f>
        <v>12.859</v>
      </c>
      <c r="H478" s="4">
        <f>CHOOSE( CONTROL!$C$32, 13.8104, 13.8081) * CHOOSE(CONTROL!$C$15, $D$11, 100%, $F$11)</f>
        <v>13.8104</v>
      </c>
      <c r="I478" s="8">
        <f>CHOOSE( CONTROL!$C$32, 12.7374, 12.7352) * CHOOSE(CONTROL!$C$15, $D$11, 100%, $F$11)</f>
        <v>12.737399999999999</v>
      </c>
      <c r="J478" s="4">
        <f>CHOOSE( CONTROL!$C$32, 12.6177, 12.6155) * CHOOSE(CONTROL!$C$15, $D$11, 100%, $F$11)</f>
        <v>12.617699999999999</v>
      </c>
      <c r="K478" s="4"/>
      <c r="L478" s="9">
        <v>29.7257</v>
      </c>
      <c r="M478" s="9">
        <v>11.6745</v>
      </c>
      <c r="N478" s="9">
        <v>4.7850000000000001</v>
      </c>
      <c r="O478" s="9">
        <v>0.36199999999999999</v>
      </c>
      <c r="P478" s="9">
        <v>1.1791</v>
      </c>
      <c r="Q478" s="9">
        <v>19.236599999999999</v>
      </c>
      <c r="R478" s="9"/>
      <c r="S478" s="11"/>
    </row>
    <row r="479" spans="1:19" ht="15.75">
      <c r="A479" s="13">
        <v>56096</v>
      </c>
      <c r="B479" s="8">
        <f>CHOOSE( CONTROL!$C$32, 13.7224, 13.7201) * CHOOSE(CONTROL!$C$15, $D$11, 100%, $F$11)</f>
        <v>13.7224</v>
      </c>
      <c r="C479" s="8">
        <f>CHOOSE( CONTROL!$C$32, 13.7329, 13.7306) * CHOOSE(CONTROL!$C$15, $D$11, 100%, $F$11)</f>
        <v>13.732900000000001</v>
      </c>
      <c r="D479" s="8">
        <f>CHOOSE( CONTROL!$C$32, 13.7671, 13.7648) * CHOOSE( CONTROL!$C$15, $D$11, 100%, $F$11)</f>
        <v>13.767099999999999</v>
      </c>
      <c r="E479" s="12">
        <f>CHOOSE( CONTROL!$C$32, 13.7531, 13.7508) * CHOOSE( CONTROL!$C$15, $D$11, 100%, $F$11)</f>
        <v>13.7531</v>
      </c>
      <c r="F479" s="4">
        <f>CHOOSE( CONTROL!$C$32, 14.4513, 14.449) * CHOOSE(CONTROL!$C$15, $D$11, 100%, $F$11)</f>
        <v>14.4513</v>
      </c>
      <c r="G479" s="8">
        <f>CHOOSE( CONTROL!$C$32, 13.4121, 13.4099) * CHOOSE( CONTROL!$C$15, $D$11, 100%, $F$11)</f>
        <v>13.412100000000001</v>
      </c>
      <c r="H479" s="4">
        <f>CHOOSE( CONTROL!$C$32, 14.3632, 14.3609) * CHOOSE(CONTROL!$C$15, $D$11, 100%, $F$11)</f>
        <v>14.363200000000001</v>
      </c>
      <c r="I479" s="8">
        <f>CHOOSE( CONTROL!$C$32, 13.2815, 13.2793) * CHOOSE(CONTROL!$C$15, $D$11, 100%, $F$11)</f>
        <v>13.281499999999999</v>
      </c>
      <c r="J479" s="4">
        <f>CHOOSE( CONTROL!$C$32, 13.1605, 13.1583) * CHOOSE(CONTROL!$C$15, $D$11, 100%, $F$11)</f>
        <v>13.160500000000001</v>
      </c>
      <c r="K479" s="4"/>
      <c r="L479" s="9">
        <v>30.7165</v>
      </c>
      <c r="M479" s="9">
        <v>12.063700000000001</v>
      </c>
      <c r="N479" s="9">
        <v>4.9444999999999997</v>
      </c>
      <c r="O479" s="9">
        <v>0.37409999999999999</v>
      </c>
      <c r="P479" s="9">
        <v>1.2183999999999999</v>
      </c>
      <c r="Q479" s="9">
        <v>19.877800000000001</v>
      </c>
      <c r="R479" s="9"/>
      <c r="S479" s="11"/>
    </row>
    <row r="480" spans="1:19" ht="15.75">
      <c r="A480" s="13">
        <v>56127</v>
      </c>
      <c r="B480" s="8">
        <f>CHOOSE( CONTROL!$C$32, 12.6644, 12.6621) * CHOOSE(CONTROL!$C$15, $D$11, 100%, $F$11)</f>
        <v>12.664400000000001</v>
      </c>
      <c r="C480" s="8">
        <f>CHOOSE( CONTROL!$C$32, 12.675, 12.6727) * CHOOSE(CONTROL!$C$15, $D$11, 100%, $F$11)</f>
        <v>12.675000000000001</v>
      </c>
      <c r="D480" s="8">
        <f>CHOOSE( CONTROL!$C$32, 12.7093, 12.707) * CHOOSE( CONTROL!$C$15, $D$11, 100%, $F$11)</f>
        <v>12.709300000000001</v>
      </c>
      <c r="E480" s="12">
        <f>CHOOSE( CONTROL!$C$32, 12.6953, 12.693) * CHOOSE( CONTROL!$C$15, $D$11, 100%, $F$11)</f>
        <v>12.6953</v>
      </c>
      <c r="F480" s="4">
        <f>CHOOSE( CONTROL!$C$32, 13.3934, 13.3911) * CHOOSE(CONTROL!$C$15, $D$11, 100%, $F$11)</f>
        <v>13.3934</v>
      </c>
      <c r="G480" s="8">
        <f>CHOOSE( CONTROL!$C$32, 12.3779, 12.3756) * CHOOSE( CONTROL!$C$15, $D$11, 100%, $F$11)</f>
        <v>12.3779</v>
      </c>
      <c r="H480" s="4">
        <f>CHOOSE( CONTROL!$C$32, 13.3288, 13.3266) * CHOOSE(CONTROL!$C$15, $D$11, 100%, $F$11)</f>
        <v>13.328799999999999</v>
      </c>
      <c r="I480" s="8">
        <f>CHOOSE( CONTROL!$C$32, 12.2656, 12.2634) * CHOOSE(CONTROL!$C$15, $D$11, 100%, $F$11)</f>
        <v>12.265599999999999</v>
      </c>
      <c r="J480" s="4">
        <f>CHOOSE( CONTROL!$C$32, 12.1448, 12.1426) * CHOOSE(CONTROL!$C$15, $D$11, 100%, $F$11)</f>
        <v>12.1448</v>
      </c>
      <c r="K480" s="4"/>
      <c r="L480" s="9">
        <v>30.7165</v>
      </c>
      <c r="M480" s="9">
        <v>12.063700000000001</v>
      </c>
      <c r="N480" s="9">
        <v>4.9444999999999997</v>
      </c>
      <c r="O480" s="9">
        <v>0.37409999999999999</v>
      </c>
      <c r="P480" s="9">
        <v>1.2183999999999999</v>
      </c>
      <c r="Q480" s="9">
        <v>19.877800000000001</v>
      </c>
      <c r="R480" s="9"/>
      <c r="S480" s="11"/>
    </row>
    <row r="481" spans="1:19" ht="15.75">
      <c r="A481" s="13">
        <v>56157</v>
      </c>
      <c r="B481" s="8">
        <f>CHOOSE( CONTROL!$C$32, 12.3995, 12.3972) * CHOOSE(CONTROL!$C$15, $D$11, 100%, $F$11)</f>
        <v>12.3995</v>
      </c>
      <c r="C481" s="8">
        <f>CHOOSE( CONTROL!$C$32, 12.4101, 12.4078) * CHOOSE(CONTROL!$C$15, $D$11, 100%, $F$11)</f>
        <v>12.4101</v>
      </c>
      <c r="D481" s="8">
        <f>CHOOSE( CONTROL!$C$32, 12.4443, 12.442) * CHOOSE( CONTROL!$C$15, $D$11, 100%, $F$11)</f>
        <v>12.4443</v>
      </c>
      <c r="E481" s="12">
        <f>CHOOSE( CONTROL!$C$32, 12.4303, 12.428) * CHOOSE( CONTROL!$C$15, $D$11, 100%, $F$11)</f>
        <v>12.430300000000001</v>
      </c>
      <c r="F481" s="4">
        <f>CHOOSE( CONTROL!$C$32, 13.1285, 13.1261) * CHOOSE(CONTROL!$C$15, $D$11, 100%, $F$11)</f>
        <v>13.128500000000001</v>
      </c>
      <c r="G481" s="8">
        <f>CHOOSE( CONTROL!$C$32, 12.1188, 12.1166) * CHOOSE( CONTROL!$C$15, $D$11, 100%, $F$11)</f>
        <v>12.1188</v>
      </c>
      <c r="H481" s="4">
        <f>CHOOSE( CONTROL!$C$32, 13.0698, 13.0676) * CHOOSE(CONTROL!$C$15, $D$11, 100%, $F$11)</f>
        <v>13.069800000000001</v>
      </c>
      <c r="I481" s="8">
        <f>CHOOSE( CONTROL!$C$32, 12.0109, 12.0087) * CHOOSE(CONTROL!$C$15, $D$11, 100%, $F$11)</f>
        <v>12.010899999999999</v>
      </c>
      <c r="J481" s="4">
        <f>CHOOSE( CONTROL!$C$32, 11.8904, 11.8882) * CHOOSE(CONTROL!$C$15, $D$11, 100%, $F$11)</f>
        <v>11.8904</v>
      </c>
      <c r="K481" s="4"/>
      <c r="L481" s="9">
        <v>29.7257</v>
      </c>
      <c r="M481" s="9">
        <v>11.6745</v>
      </c>
      <c r="N481" s="9">
        <v>4.7850000000000001</v>
      </c>
      <c r="O481" s="9">
        <v>0.36199999999999999</v>
      </c>
      <c r="P481" s="9">
        <v>1.1791</v>
      </c>
      <c r="Q481" s="9">
        <v>19.236599999999999</v>
      </c>
      <c r="R481" s="9"/>
      <c r="S481" s="11"/>
    </row>
    <row r="482" spans="1:19" ht="15.75">
      <c r="A482" s="13">
        <v>56188</v>
      </c>
      <c r="B482" s="8">
        <f>12.9474 * CHOOSE(CONTROL!$C$15, $D$11, 100%, $F$11)</f>
        <v>12.9474</v>
      </c>
      <c r="C482" s="8">
        <f>12.9581 * CHOOSE(CONTROL!$C$15, $D$11, 100%, $F$11)</f>
        <v>12.9581</v>
      </c>
      <c r="D482" s="8">
        <f>12.9935 * CHOOSE( CONTROL!$C$15, $D$11, 100%, $F$11)</f>
        <v>12.993499999999999</v>
      </c>
      <c r="E482" s="12">
        <f>12.9807 * CHOOSE( CONTROL!$C$15, $D$11, 100%, $F$11)</f>
        <v>12.980700000000001</v>
      </c>
      <c r="F482" s="4">
        <f>13.6762 * CHOOSE(CONTROL!$C$15, $D$11, 100%, $F$11)</f>
        <v>13.6762</v>
      </c>
      <c r="G482" s="8">
        <f>12.6542 * CHOOSE( CONTROL!$C$15, $D$11, 100%, $F$11)</f>
        <v>12.654199999999999</v>
      </c>
      <c r="H482" s="4">
        <f>13.6053 * CHOOSE(CONTROL!$C$15, $D$11, 100%, $F$11)</f>
        <v>13.6053</v>
      </c>
      <c r="I482" s="8">
        <f>12.538 * CHOOSE(CONTROL!$C$15, $D$11, 100%, $F$11)</f>
        <v>12.538</v>
      </c>
      <c r="J482" s="4">
        <f>12.4163 * CHOOSE(CONTROL!$C$15, $D$11, 100%, $F$11)</f>
        <v>12.4163</v>
      </c>
      <c r="K482" s="4"/>
      <c r="L482" s="9">
        <v>31.095300000000002</v>
      </c>
      <c r="M482" s="9">
        <v>12.063700000000001</v>
      </c>
      <c r="N482" s="9">
        <v>4.9444999999999997</v>
      </c>
      <c r="O482" s="9">
        <v>0.37409999999999999</v>
      </c>
      <c r="P482" s="9">
        <v>1.2183999999999999</v>
      </c>
      <c r="Q482" s="9">
        <v>19.877800000000001</v>
      </c>
      <c r="R482" s="9"/>
      <c r="S482" s="11"/>
    </row>
    <row r="483" spans="1:19" ht="15.75">
      <c r="A483" s="13">
        <v>56218</v>
      </c>
      <c r="B483" s="8">
        <f>13.9627 * CHOOSE(CONTROL!$C$15, $D$11, 100%, $F$11)</f>
        <v>13.9627</v>
      </c>
      <c r="C483" s="8">
        <f>13.9735 * CHOOSE(CONTROL!$C$15, $D$11, 100%, $F$11)</f>
        <v>13.9735</v>
      </c>
      <c r="D483" s="8">
        <f>13.9495 * CHOOSE( CONTROL!$C$15, $D$11, 100%, $F$11)</f>
        <v>13.9495</v>
      </c>
      <c r="E483" s="12">
        <f>13.9571 * CHOOSE( CONTROL!$C$15, $D$11, 100%, $F$11)</f>
        <v>13.957100000000001</v>
      </c>
      <c r="F483" s="4">
        <f>14.6238 * CHOOSE(CONTROL!$C$15, $D$11, 100%, $F$11)</f>
        <v>14.623799999999999</v>
      </c>
      <c r="G483" s="8">
        <f>13.6468 * CHOOSE( CONTROL!$C$15, $D$11, 100%, $F$11)</f>
        <v>13.646800000000001</v>
      </c>
      <c r="H483" s="4">
        <f>14.5318 * CHOOSE(CONTROL!$C$15, $D$11, 100%, $F$11)</f>
        <v>14.5318</v>
      </c>
      <c r="I483" s="8">
        <f>13.5566 * CHOOSE(CONTROL!$C$15, $D$11, 100%, $F$11)</f>
        <v>13.5566</v>
      </c>
      <c r="J483" s="4">
        <f>13.3911 * CHOOSE(CONTROL!$C$15, $D$11, 100%, $F$11)</f>
        <v>13.3911</v>
      </c>
      <c r="K483" s="4"/>
      <c r="L483" s="9">
        <v>28.360600000000002</v>
      </c>
      <c r="M483" s="9">
        <v>11.6745</v>
      </c>
      <c r="N483" s="9">
        <v>4.7850000000000001</v>
      </c>
      <c r="O483" s="9">
        <v>0.36199999999999999</v>
      </c>
      <c r="P483" s="9">
        <v>1.2509999999999999</v>
      </c>
      <c r="Q483" s="9">
        <v>19.236599999999999</v>
      </c>
      <c r="R483" s="9"/>
      <c r="S483" s="11"/>
    </row>
    <row r="484" spans="1:19" ht="15.75">
      <c r="A484" s="13">
        <v>56249</v>
      </c>
      <c r="B484" s="8">
        <f>13.9373 * CHOOSE(CONTROL!$C$15, $D$11, 100%, $F$11)</f>
        <v>13.9373</v>
      </c>
      <c r="C484" s="8">
        <f>13.9481 * CHOOSE(CONTROL!$C$15, $D$11, 100%, $F$11)</f>
        <v>13.9481</v>
      </c>
      <c r="D484" s="8">
        <f>13.9258 * CHOOSE( CONTROL!$C$15, $D$11, 100%, $F$11)</f>
        <v>13.925800000000001</v>
      </c>
      <c r="E484" s="12">
        <f>13.9328 * CHOOSE( CONTROL!$C$15, $D$11, 100%, $F$11)</f>
        <v>13.9328</v>
      </c>
      <c r="F484" s="4">
        <f>14.5985 * CHOOSE(CONTROL!$C$15, $D$11, 100%, $F$11)</f>
        <v>14.5985</v>
      </c>
      <c r="G484" s="8">
        <f>13.6232 * CHOOSE( CONTROL!$C$15, $D$11, 100%, $F$11)</f>
        <v>13.623200000000001</v>
      </c>
      <c r="H484" s="4">
        <f>14.507 * CHOOSE(CONTROL!$C$15, $D$11, 100%, $F$11)</f>
        <v>14.507</v>
      </c>
      <c r="I484" s="8">
        <f>13.5374 * CHOOSE(CONTROL!$C$15, $D$11, 100%, $F$11)</f>
        <v>13.5374</v>
      </c>
      <c r="J484" s="4">
        <f>13.3668 * CHOOSE(CONTROL!$C$15, $D$11, 100%, $F$11)</f>
        <v>13.3668</v>
      </c>
      <c r="K484" s="4"/>
      <c r="L484" s="9">
        <v>29.306000000000001</v>
      </c>
      <c r="M484" s="9">
        <v>12.063700000000001</v>
      </c>
      <c r="N484" s="9">
        <v>4.9444999999999997</v>
      </c>
      <c r="O484" s="9">
        <v>0.37409999999999999</v>
      </c>
      <c r="P484" s="9">
        <v>1.2927</v>
      </c>
      <c r="Q484" s="9">
        <v>19.877800000000001</v>
      </c>
      <c r="R484" s="9"/>
      <c r="S484" s="11"/>
    </row>
    <row r="485" spans="1:19" ht="15.75">
      <c r="A485" s="13">
        <v>56280</v>
      </c>
      <c r="B485" s="8">
        <f>14.348 * CHOOSE(CONTROL!$C$15, $D$11, 100%, $F$11)</f>
        <v>14.348000000000001</v>
      </c>
      <c r="C485" s="8">
        <f>14.3588 * CHOOSE(CONTROL!$C$15, $D$11, 100%, $F$11)</f>
        <v>14.3588</v>
      </c>
      <c r="D485" s="8">
        <f>14.3404 * CHOOSE( CONTROL!$C$15, $D$11, 100%, $F$11)</f>
        <v>14.340400000000001</v>
      </c>
      <c r="E485" s="12">
        <f>14.346 * CHOOSE( CONTROL!$C$15, $D$11, 100%, $F$11)</f>
        <v>14.346</v>
      </c>
      <c r="F485" s="4">
        <f>15.0091 * CHOOSE(CONTROL!$C$15, $D$11, 100%, $F$11)</f>
        <v>15.0091</v>
      </c>
      <c r="G485" s="8">
        <f>14.0204 * CHOOSE( CONTROL!$C$15, $D$11, 100%, $F$11)</f>
        <v>14.0204</v>
      </c>
      <c r="H485" s="4">
        <f>14.9085 * CHOOSE(CONTROL!$C$15, $D$11, 100%, $F$11)</f>
        <v>14.9085</v>
      </c>
      <c r="I485" s="8">
        <f>13.8873 * CHOOSE(CONTROL!$C$15, $D$11, 100%, $F$11)</f>
        <v>13.8873</v>
      </c>
      <c r="J485" s="4">
        <f>13.7611 * CHOOSE(CONTROL!$C$15, $D$11, 100%, $F$11)</f>
        <v>13.761100000000001</v>
      </c>
      <c r="K485" s="4"/>
      <c r="L485" s="9">
        <v>29.306000000000001</v>
      </c>
      <c r="M485" s="9">
        <v>12.063700000000001</v>
      </c>
      <c r="N485" s="9">
        <v>4.9444999999999997</v>
      </c>
      <c r="O485" s="9">
        <v>0.37409999999999999</v>
      </c>
      <c r="P485" s="9">
        <v>1.2927</v>
      </c>
      <c r="Q485" s="9">
        <v>19.814599999999999</v>
      </c>
      <c r="R485" s="9"/>
      <c r="S485" s="11"/>
    </row>
    <row r="486" spans="1:19" ht="15.75">
      <c r="A486" s="13">
        <v>56308</v>
      </c>
      <c r="B486" s="8">
        <f>13.4214 * CHOOSE(CONTROL!$C$15, $D$11, 100%, $F$11)</f>
        <v>13.4214</v>
      </c>
      <c r="C486" s="8">
        <f>13.4322 * CHOOSE(CONTROL!$C$15, $D$11, 100%, $F$11)</f>
        <v>13.4322</v>
      </c>
      <c r="D486" s="8">
        <f>13.4136 * CHOOSE( CONTROL!$C$15, $D$11, 100%, $F$11)</f>
        <v>13.413600000000001</v>
      </c>
      <c r="E486" s="12">
        <f>13.4193 * CHOOSE( CONTROL!$C$15, $D$11, 100%, $F$11)</f>
        <v>13.4193</v>
      </c>
      <c r="F486" s="4">
        <f>14.0825 * CHOOSE(CONTROL!$C$15, $D$11, 100%, $F$11)</f>
        <v>14.0825</v>
      </c>
      <c r="G486" s="8">
        <f>13.1143 * CHOOSE( CONTROL!$C$15, $D$11, 100%, $F$11)</f>
        <v>13.1143</v>
      </c>
      <c r="H486" s="4">
        <f>14.0026 * CHOOSE(CONTROL!$C$15, $D$11, 100%, $F$11)</f>
        <v>14.002599999999999</v>
      </c>
      <c r="I486" s="8">
        <f>12.9967 * CHOOSE(CONTROL!$C$15, $D$11, 100%, $F$11)</f>
        <v>12.996700000000001</v>
      </c>
      <c r="J486" s="4">
        <f>12.8714 * CHOOSE(CONTROL!$C$15, $D$11, 100%, $F$11)</f>
        <v>12.8714</v>
      </c>
      <c r="K486" s="4"/>
      <c r="L486" s="9">
        <v>26.469899999999999</v>
      </c>
      <c r="M486" s="9">
        <v>10.8962</v>
      </c>
      <c r="N486" s="9">
        <v>4.4660000000000002</v>
      </c>
      <c r="O486" s="9">
        <v>0.33789999999999998</v>
      </c>
      <c r="P486" s="9">
        <v>1.1676</v>
      </c>
      <c r="Q486" s="9">
        <v>17.896999999999998</v>
      </c>
      <c r="R486" s="9"/>
      <c r="S486" s="11"/>
    </row>
    <row r="487" spans="1:19" ht="15.75">
      <c r="A487" s="13">
        <v>56339</v>
      </c>
      <c r="B487" s="8">
        <f>13.136 * CHOOSE(CONTROL!$C$15, $D$11, 100%, $F$11)</f>
        <v>13.135999999999999</v>
      </c>
      <c r="C487" s="8">
        <f>13.1468 * CHOOSE(CONTROL!$C$15, $D$11, 100%, $F$11)</f>
        <v>13.146800000000001</v>
      </c>
      <c r="D487" s="8">
        <f>13.1277 * CHOOSE( CONTROL!$C$15, $D$11, 100%, $F$11)</f>
        <v>13.127700000000001</v>
      </c>
      <c r="E487" s="12">
        <f>13.1335 * CHOOSE( CONTROL!$C$15, $D$11, 100%, $F$11)</f>
        <v>13.1335</v>
      </c>
      <c r="F487" s="4">
        <f>13.7971 * CHOOSE(CONTROL!$C$15, $D$11, 100%, $F$11)</f>
        <v>13.7971</v>
      </c>
      <c r="G487" s="8">
        <f>12.8349 * CHOOSE( CONTROL!$C$15, $D$11, 100%, $F$11)</f>
        <v>12.834899999999999</v>
      </c>
      <c r="H487" s="4">
        <f>13.7236 * CHOOSE(CONTROL!$C$15, $D$11, 100%, $F$11)</f>
        <v>13.723599999999999</v>
      </c>
      <c r="I487" s="8">
        <f>12.7211 * CHOOSE(CONTROL!$C$15, $D$11, 100%, $F$11)</f>
        <v>12.7211</v>
      </c>
      <c r="J487" s="4">
        <f>12.5974 * CHOOSE(CONTROL!$C$15, $D$11, 100%, $F$11)</f>
        <v>12.5974</v>
      </c>
      <c r="K487" s="4"/>
      <c r="L487" s="9">
        <v>29.306000000000001</v>
      </c>
      <c r="M487" s="9">
        <v>12.063700000000001</v>
      </c>
      <c r="N487" s="9">
        <v>4.9444999999999997</v>
      </c>
      <c r="O487" s="9">
        <v>0.37409999999999999</v>
      </c>
      <c r="P487" s="9">
        <v>1.2927</v>
      </c>
      <c r="Q487" s="9">
        <v>19.814599999999999</v>
      </c>
      <c r="R487" s="9"/>
      <c r="S487" s="11"/>
    </row>
    <row r="488" spans="1:19" ht="15.75">
      <c r="A488" s="13">
        <v>56369</v>
      </c>
      <c r="B488" s="8">
        <f>13.3354 * CHOOSE(CONTROL!$C$15, $D$11, 100%, $F$11)</f>
        <v>13.3354</v>
      </c>
      <c r="C488" s="8">
        <f>13.3462 * CHOOSE(CONTROL!$C$15, $D$11, 100%, $F$11)</f>
        <v>13.3462</v>
      </c>
      <c r="D488" s="8">
        <f>13.381 * CHOOSE( CONTROL!$C$15, $D$11, 100%, $F$11)</f>
        <v>13.381</v>
      </c>
      <c r="E488" s="12">
        <f>13.3683 * CHOOSE( CONTROL!$C$15, $D$11, 100%, $F$11)</f>
        <v>13.3683</v>
      </c>
      <c r="F488" s="4">
        <f>14.0643 * CHOOSE(CONTROL!$C$15, $D$11, 100%, $F$11)</f>
        <v>14.064299999999999</v>
      </c>
      <c r="G488" s="8">
        <f>13.0327 * CHOOSE( CONTROL!$C$15, $D$11, 100%, $F$11)</f>
        <v>13.0327</v>
      </c>
      <c r="H488" s="4">
        <f>13.9847 * CHOOSE(CONTROL!$C$15, $D$11, 100%, $F$11)</f>
        <v>13.9847</v>
      </c>
      <c r="I488" s="8">
        <f>12.9079 * CHOOSE(CONTROL!$C$15, $D$11, 100%, $F$11)</f>
        <v>12.9079</v>
      </c>
      <c r="J488" s="4">
        <f>12.7889 * CHOOSE(CONTROL!$C$15, $D$11, 100%, $F$11)</f>
        <v>12.7889</v>
      </c>
      <c r="K488" s="4"/>
      <c r="L488" s="9">
        <v>30.092199999999998</v>
      </c>
      <c r="M488" s="9">
        <v>11.6745</v>
      </c>
      <c r="N488" s="9">
        <v>4.7850000000000001</v>
      </c>
      <c r="O488" s="9">
        <v>0.36199999999999999</v>
      </c>
      <c r="P488" s="9">
        <v>1.1791</v>
      </c>
      <c r="Q488" s="9">
        <v>19.1754</v>
      </c>
      <c r="R488" s="9"/>
      <c r="S488" s="11"/>
    </row>
    <row r="489" spans="1:19" ht="15.75">
      <c r="A489" s="13">
        <v>56400</v>
      </c>
      <c r="B489" s="8">
        <f>CHOOSE( CONTROL!$C$32, 13.6925, 13.6902) * CHOOSE(CONTROL!$C$15, $D$11, 100%, $F$11)</f>
        <v>13.692500000000001</v>
      </c>
      <c r="C489" s="8">
        <f>CHOOSE( CONTROL!$C$32, 13.7031, 13.7008) * CHOOSE(CONTROL!$C$15, $D$11, 100%, $F$11)</f>
        <v>13.703099999999999</v>
      </c>
      <c r="D489" s="8">
        <f>CHOOSE( CONTROL!$C$32, 13.7369, 13.7346) * CHOOSE( CONTROL!$C$15, $D$11, 100%, $F$11)</f>
        <v>13.7369</v>
      </c>
      <c r="E489" s="12">
        <f>CHOOSE( CONTROL!$C$32, 13.723, 13.7207) * CHOOSE( CONTROL!$C$15, $D$11, 100%, $F$11)</f>
        <v>13.723000000000001</v>
      </c>
      <c r="F489" s="4">
        <f>CHOOSE( CONTROL!$C$32, 14.4215, 14.4192) * CHOOSE(CONTROL!$C$15, $D$11, 100%, $F$11)</f>
        <v>14.4215</v>
      </c>
      <c r="G489" s="8">
        <f>CHOOSE( CONTROL!$C$32, 13.3824, 13.3802) * CHOOSE( CONTROL!$C$15, $D$11, 100%, $F$11)</f>
        <v>13.382400000000001</v>
      </c>
      <c r="H489" s="4">
        <f>CHOOSE( CONTROL!$C$32, 14.334, 14.3317) * CHOOSE(CONTROL!$C$15, $D$11, 100%, $F$11)</f>
        <v>14.334</v>
      </c>
      <c r="I489" s="8">
        <f>CHOOSE( CONTROL!$C$32, 13.2511, 13.2489) * CHOOSE(CONTROL!$C$15, $D$11, 100%, $F$11)</f>
        <v>13.251099999999999</v>
      </c>
      <c r="J489" s="4">
        <f>CHOOSE( CONTROL!$C$32, 13.1319, 13.1297) * CHOOSE(CONTROL!$C$15, $D$11, 100%, $F$11)</f>
        <v>13.1319</v>
      </c>
      <c r="K489" s="4"/>
      <c r="L489" s="9">
        <v>30.7165</v>
      </c>
      <c r="M489" s="9">
        <v>12.063700000000001</v>
      </c>
      <c r="N489" s="9">
        <v>4.9444999999999997</v>
      </c>
      <c r="O489" s="9">
        <v>0.37409999999999999</v>
      </c>
      <c r="P489" s="9">
        <v>1.2183999999999999</v>
      </c>
      <c r="Q489" s="9">
        <v>19.814599999999999</v>
      </c>
      <c r="R489" s="9"/>
      <c r="S489" s="11"/>
    </row>
    <row r="490" spans="1:19" ht="15.75">
      <c r="A490" s="13">
        <v>56430</v>
      </c>
      <c r="B490" s="8">
        <f>CHOOSE( CONTROL!$C$32, 13.4727, 13.4704) * CHOOSE(CONTROL!$C$15, $D$11, 100%, $F$11)</f>
        <v>13.4727</v>
      </c>
      <c r="C490" s="8">
        <f>CHOOSE( CONTROL!$C$32, 13.4832, 13.4809) * CHOOSE(CONTROL!$C$15, $D$11, 100%, $F$11)</f>
        <v>13.4832</v>
      </c>
      <c r="D490" s="8">
        <f>CHOOSE( CONTROL!$C$32, 13.5172, 13.5149) * CHOOSE( CONTROL!$C$15, $D$11, 100%, $F$11)</f>
        <v>13.517200000000001</v>
      </c>
      <c r="E490" s="12">
        <f>CHOOSE( CONTROL!$C$32, 13.5033, 13.501) * CHOOSE( CONTROL!$C$15, $D$11, 100%, $F$11)</f>
        <v>13.503299999999999</v>
      </c>
      <c r="F490" s="4">
        <f>CHOOSE( CONTROL!$C$32, 14.2016, 14.1993) * CHOOSE(CONTROL!$C$15, $D$11, 100%, $F$11)</f>
        <v>14.201599999999999</v>
      </c>
      <c r="G490" s="8">
        <f>CHOOSE( CONTROL!$C$32, 13.1677, 13.1654) * CHOOSE( CONTROL!$C$15, $D$11, 100%, $F$11)</f>
        <v>13.1677</v>
      </c>
      <c r="H490" s="4">
        <f>CHOOSE( CONTROL!$C$32, 14.119, 14.1168) * CHOOSE(CONTROL!$C$15, $D$11, 100%, $F$11)</f>
        <v>14.119</v>
      </c>
      <c r="I490" s="8">
        <f>CHOOSE( CONTROL!$C$32, 13.0407, 13.0385) * CHOOSE(CONTROL!$C$15, $D$11, 100%, $F$11)</f>
        <v>13.040699999999999</v>
      </c>
      <c r="J490" s="4">
        <f>CHOOSE( CONTROL!$C$32, 12.9208, 12.9186) * CHOOSE(CONTROL!$C$15, $D$11, 100%, $F$11)</f>
        <v>12.9208</v>
      </c>
      <c r="K490" s="4"/>
      <c r="L490" s="9">
        <v>29.7257</v>
      </c>
      <c r="M490" s="9">
        <v>11.6745</v>
      </c>
      <c r="N490" s="9">
        <v>4.7850000000000001</v>
      </c>
      <c r="O490" s="9">
        <v>0.36199999999999999</v>
      </c>
      <c r="P490" s="9">
        <v>1.1791</v>
      </c>
      <c r="Q490" s="9">
        <v>19.1754</v>
      </c>
      <c r="R490" s="9"/>
      <c r="S490" s="11"/>
    </row>
    <row r="491" spans="1:19" ht="15.75">
      <c r="A491" s="13">
        <v>56461</v>
      </c>
      <c r="B491" s="8">
        <f>CHOOSE( CONTROL!$C$32, 14.0517, 14.0494) * CHOOSE(CONTROL!$C$15, $D$11, 100%, $F$11)</f>
        <v>14.0517</v>
      </c>
      <c r="C491" s="8">
        <f>CHOOSE( CONTROL!$C$32, 14.0622, 14.0599) * CHOOSE(CONTROL!$C$15, $D$11, 100%, $F$11)</f>
        <v>14.062200000000001</v>
      </c>
      <c r="D491" s="8">
        <f>CHOOSE( CONTROL!$C$32, 14.0964, 14.0941) * CHOOSE( CONTROL!$C$15, $D$11, 100%, $F$11)</f>
        <v>14.096399999999999</v>
      </c>
      <c r="E491" s="12">
        <f>CHOOSE( CONTROL!$C$32, 14.0824, 14.0801) * CHOOSE( CONTROL!$C$15, $D$11, 100%, $F$11)</f>
        <v>14.0824</v>
      </c>
      <c r="F491" s="4">
        <f>CHOOSE( CONTROL!$C$32, 14.7806, 14.7783) * CHOOSE(CONTROL!$C$15, $D$11, 100%, $F$11)</f>
        <v>14.7806</v>
      </c>
      <c r="G491" s="8">
        <f>CHOOSE( CONTROL!$C$32, 13.7341, 13.7318) * CHOOSE( CONTROL!$C$15, $D$11, 100%, $F$11)</f>
        <v>13.7341</v>
      </c>
      <c r="H491" s="4">
        <f>CHOOSE( CONTROL!$C$32, 14.6851, 14.6829) * CHOOSE(CONTROL!$C$15, $D$11, 100%, $F$11)</f>
        <v>14.6851</v>
      </c>
      <c r="I491" s="8">
        <f>CHOOSE( CONTROL!$C$32, 13.5978, 13.5956) * CHOOSE(CONTROL!$C$15, $D$11, 100%, $F$11)</f>
        <v>13.597799999999999</v>
      </c>
      <c r="J491" s="4">
        <f>CHOOSE( CONTROL!$C$32, 13.4767, 13.4745) * CHOOSE(CONTROL!$C$15, $D$11, 100%, $F$11)</f>
        <v>13.476699999999999</v>
      </c>
      <c r="K491" s="4"/>
      <c r="L491" s="9">
        <v>30.7165</v>
      </c>
      <c r="M491" s="9">
        <v>12.063700000000001</v>
      </c>
      <c r="N491" s="9">
        <v>4.9444999999999997</v>
      </c>
      <c r="O491" s="9">
        <v>0.37409999999999999</v>
      </c>
      <c r="P491" s="9">
        <v>1.2183999999999999</v>
      </c>
      <c r="Q491" s="9">
        <v>19.814599999999999</v>
      </c>
      <c r="R491" s="9"/>
      <c r="S491" s="11"/>
    </row>
    <row r="492" spans="1:19" ht="15.75">
      <c r="A492" s="13">
        <v>56492</v>
      </c>
      <c r="B492" s="8">
        <f>CHOOSE( CONTROL!$C$32, 12.9683, 12.966) * CHOOSE(CONTROL!$C$15, $D$11, 100%, $F$11)</f>
        <v>12.968299999999999</v>
      </c>
      <c r="C492" s="8">
        <f>CHOOSE( CONTROL!$C$32, 12.9789, 12.9766) * CHOOSE(CONTROL!$C$15, $D$11, 100%, $F$11)</f>
        <v>12.978899999999999</v>
      </c>
      <c r="D492" s="8">
        <f>CHOOSE( CONTROL!$C$32, 13.0131, 13.0108) * CHOOSE( CONTROL!$C$15, $D$11, 100%, $F$11)</f>
        <v>13.0131</v>
      </c>
      <c r="E492" s="12">
        <f>CHOOSE( CONTROL!$C$32, 12.9991, 12.9968) * CHOOSE( CONTROL!$C$15, $D$11, 100%, $F$11)</f>
        <v>12.9991</v>
      </c>
      <c r="F492" s="4">
        <f>CHOOSE( CONTROL!$C$32, 13.6973, 13.6949) * CHOOSE(CONTROL!$C$15, $D$11, 100%, $F$11)</f>
        <v>13.6973</v>
      </c>
      <c r="G492" s="8">
        <f>CHOOSE( CONTROL!$C$32, 12.675, 12.6727) * CHOOSE( CONTROL!$C$15, $D$11, 100%, $F$11)</f>
        <v>12.675000000000001</v>
      </c>
      <c r="H492" s="4">
        <f>CHOOSE( CONTROL!$C$32, 13.6259, 13.6237) * CHOOSE(CONTROL!$C$15, $D$11, 100%, $F$11)</f>
        <v>13.6259</v>
      </c>
      <c r="I492" s="8">
        <f>CHOOSE( CONTROL!$C$32, 12.5575, 12.5553) * CHOOSE(CONTROL!$C$15, $D$11, 100%, $F$11)</f>
        <v>12.557499999999999</v>
      </c>
      <c r="J492" s="4">
        <f>CHOOSE( CONTROL!$C$32, 12.4365, 12.4343) * CHOOSE(CONTROL!$C$15, $D$11, 100%, $F$11)</f>
        <v>12.436500000000001</v>
      </c>
      <c r="K492" s="4"/>
      <c r="L492" s="9">
        <v>30.7165</v>
      </c>
      <c r="M492" s="9">
        <v>12.063700000000001</v>
      </c>
      <c r="N492" s="9">
        <v>4.9444999999999997</v>
      </c>
      <c r="O492" s="9">
        <v>0.37409999999999999</v>
      </c>
      <c r="P492" s="9">
        <v>1.2183999999999999</v>
      </c>
      <c r="Q492" s="9">
        <v>19.814599999999999</v>
      </c>
      <c r="R492" s="9"/>
      <c r="S492" s="11"/>
    </row>
    <row r="493" spans="1:19" ht="15.75">
      <c r="A493" s="13">
        <v>56522</v>
      </c>
      <c r="B493" s="8">
        <f>CHOOSE( CONTROL!$C$32, 12.697, 12.6947) * CHOOSE(CONTROL!$C$15, $D$11, 100%, $F$11)</f>
        <v>12.696999999999999</v>
      </c>
      <c r="C493" s="8">
        <f>CHOOSE( CONTROL!$C$32, 12.7076, 12.7053) * CHOOSE(CONTROL!$C$15, $D$11, 100%, $F$11)</f>
        <v>12.707599999999999</v>
      </c>
      <c r="D493" s="8">
        <f>CHOOSE( CONTROL!$C$32, 12.7418, 12.7395) * CHOOSE( CONTROL!$C$15, $D$11, 100%, $F$11)</f>
        <v>12.7418</v>
      </c>
      <c r="E493" s="12">
        <f>CHOOSE( CONTROL!$C$32, 12.7278, 12.7255) * CHOOSE( CONTROL!$C$15, $D$11, 100%, $F$11)</f>
        <v>12.7278</v>
      </c>
      <c r="F493" s="4">
        <f>CHOOSE( CONTROL!$C$32, 13.426, 13.4237) * CHOOSE(CONTROL!$C$15, $D$11, 100%, $F$11)</f>
        <v>13.426</v>
      </c>
      <c r="G493" s="8">
        <f>CHOOSE( CONTROL!$C$32, 12.4097, 12.4075) * CHOOSE( CONTROL!$C$15, $D$11, 100%, $F$11)</f>
        <v>12.409700000000001</v>
      </c>
      <c r="H493" s="4">
        <f>CHOOSE( CONTROL!$C$32, 13.3607, 13.3584) * CHOOSE(CONTROL!$C$15, $D$11, 100%, $F$11)</f>
        <v>13.3607</v>
      </c>
      <c r="I493" s="8">
        <f>CHOOSE( CONTROL!$C$32, 12.2967, 12.2945) * CHOOSE(CONTROL!$C$15, $D$11, 100%, $F$11)</f>
        <v>12.2967</v>
      </c>
      <c r="J493" s="4">
        <f>CHOOSE( CONTROL!$C$32, 12.1761, 12.1739) * CHOOSE(CONTROL!$C$15, $D$11, 100%, $F$11)</f>
        <v>12.1761</v>
      </c>
      <c r="K493" s="4"/>
      <c r="L493" s="9">
        <v>29.7257</v>
      </c>
      <c r="M493" s="9">
        <v>11.6745</v>
      </c>
      <c r="N493" s="9">
        <v>4.7850000000000001</v>
      </c>
      <c r="O493" s="9">
        <v>0.36199999999999999</v>
      </c>
      <c r="P493" s="9">
        <v>1.1791</v>
      </c>
      <c r="Q493" s="9">
        <v>19.1754</v>
      </c>
      <c r="R493" s="9"/>
      <c r="S493" s="11"/>
    </row>
    <row r="494" spans="1:19" ht="15.75">
      <c r="A494" s="13">
        <v>56553</v>
      </c>
      <c r="B494" s="8">
        <f>13.2581 * CHOOSE(CONTROL!$C$15, $D$11, 100%, $F$11)</f>
        <v>13.258100000000001</v>
      </c>
      <c r="C494" s="8">
        <f>13.2689 * CHOOSE(CONTROL!$C$15, $D$11, 100%, $F$11)</f>
        <v>13.2689</v>
      </c>
      <c r="D494" s="8">
        <f>13.3043 * CHOOSE( CONTROL!$C$15, $D$11, 100%, $F$11)</f>
        <v>13.3043</v>
      </c>
      <c r="E494" s="12">
        <f>13.2915 * CHOOSE( CONTROL!$C$15, $D$11, 100%, $F$11)</f>
        <v>13.291499999999999</v>
      </c>
      <c r="F494" s="4">
        <f>13.9869 * CHOOSE(CONTROL!$C$15, $D$11, 100%, $F$11)</f>
        <v>13.9869</v>
      </c>
      <c r="G494" s="8">
        <f>12.958 * CHOOSE( CONTROL!$C$15, $D$11, 100%, $F$11)</f>
        <v>12.958</v>
      </c>
      <c r="H494" s="4">
        <f>13.9091 * CHOOSE(CONTROL!$C$15, $D$11, 100%, $F$11)</f>
        <v>13.9091</v>
      </c>
      <c r="I494" s="8">
        <f>12.8365 * CHOOSE(CONTROL!$C$15, $D$11, 100%, $F$11)</f>
        <v>12.836499999999999</v>
      </c>
      <c r="J494" s="4">
        <f>12.7147 * CHOOSE(CONTROL!$C$15, $D$11, 100%, $F$11)</f>
        <v>12.714700000000001</v>
      </c>
      <c r="K494" s="4"/>
      <c r="L494" s="9">
        <v>31.095300000000002</v>
      </c>
      <c r="M494" s="9">
        <v>12.063700000000001</v>
      </c>
      <c r="N494" s="9">
        <v>4.9444999999999997</v>
      </c>
      <c r="O494" s="9">
        <v>0.37409999999999999</v>
      </c>
      <c r="P494" s="9">
        <v>1.2183999999999999</v>
      </c>
      <c r="Q494" s="9">
        <v>19.814599999999999</v>
      </c>
      <c r="R494" s="9"/>
      <c r="S494" s="11"/>
    </row>
    <row r="495" spans="1:19" ht="15.75">
      <c r="A495" s="13">
        <v>56583</v>
      </c>
      <c r="B495" s="8">
        <f>14.2978 * CHOOSE(CONTROL!$C$15, $D$11, 100%, $F$11)</f>
        <v>14.297800000000001</v>
      </c>
      <c r="C495" s="8">
        <f>14.3086 * CHOOSE(CONTROL!$C$15, $D$11, 100%, $F$11)</f>
        <v>14.3086</v>
      </c>
      <c r="D495" s="8">
        <f>14.2846 * CHOOSE( CONTROL!$C$15, $D$11, 100%, $F$11)</f>
        <v>14.284599999999999</v>
      </c>
      <c r="E495" s="12">
        <f>14.2922 * CHOOSE( CONTROL!$C$15, $D$11, 100%, $F$11)</f>
        <v>14.292199999999999</v>
      </c>
      <c r="F495" s="4">
        <f>14.9589 * CHOOSE(CONTROL!$C$15, $D$11, 100%, $F$11)</f>
        <v>14.9589</v>
      </c>
      <c r="G495" s="8">
        <f>13.9745 * CHOOSE( CONTROL!$C$15, $D$11, 100%, $F$11)</f>
        <v>13.974500000000001</v>
      </c>
      <c r="H495" s="4">
        <f>14.8595 * CHOOSE(CONTROL!$C$15, $D$11, 100%, $F$11)</f>
        <v>14.859500000000001</v>
      </c>
      <c r="I495" s="8">
        <f>13.8785 * CHOOSE(CONTROL!$C$15, $D$11, 100%, $F$11)</f>
        <v>13.878500000000001</v>
      </c>
      <c r="J495" s="4">
        <f>13.7129 * CHOOSE(CONTROL!$C$15, $D$11, 100%, $F$11)</f>
        <v>13.712899999999999</v>
      </c>
      <c r="K495" s="4"/>
      <c r="L495" s="9">
        <v>28.360600000000002</v>
      </c>
      <c r="M495" s="9">
        <v>11.6745</v>
      </c>
      <c r="N495" s="9">
        <v>4.7850000000000001</v>
      </c>
      <c r="O495" s="9">
        <v>0.36199999999999999</v>
      </c>
      <c r="P495" s="9">
        <v>1.2509999999999999</v>
      </c>
      <c r="Q495" s="9">
        <v>19.1754</v>
      </c>
      <c r="R495" s="9"/>
      <c r="S495" s="11"/>
    </row>
    <row r="496" spans="1:19" ht="15.75">
      <c r="A496" s="13">
        <v>56614</v>
      </c>
      <c r="B496" s="8">
        <f>14.2719 * CHOOSE(CONTROL!$C$15, $D$11, 100%, $F$11)</f>
        <v>14.2719</v>
      </c>
      <c r="C496" s="8">
        <f>14.2826 * CHOOSE(CONTROL!$C$15, $D$11, 100%, $F$11)</f>
        <v>14.2826</v>
      </c>
      <c r="D496" s="8">
        <f>14.2604 * CHOOSE( CONTROL!$C$15, $D$11, 100%, $F$11)</f>
        <v>14.260400000000001</v>
      </c>
      <c r="E496" s="12">
        <f>14.2674 * CHOOSE( CONTROL!$C$15, $D$11, 100%, $F$11)</f>
        <v>14.2674</v>
      </c>
      <c r="F496" s="4">
        <f>14.933 * CHOOSE(CONTROL!$C$15, $D$11, 100%, $F$11)</f>
        <v>14.933</v>
      </c>
      <c r="G496" s="8">
        <f>13.9503 * CHOOSE( CONTROL!$C$15, $D$11, 100%, $F$11)</f>
        <v>13.9503</v>
      </c>
      <c r="H496" s="4">
        <f>14.8341 * CHOOSE(CONTROL!$C$15, $D$11, 100%, $F$11)</f>
        <v>14.834099999999999</v>
      </c>
      <c r="I496" s="8">
        <f>13.8588 * CHOOSE(CONTROL!$C$15, $D$11, 100%, $F$11)</f>
        <v>13.8588</v>
      </c>
      <c r="J496" s="4">
        <f>13.688 * CHOOSE(CONTROL!$C$15, $D$11, 100%, $F$11)</f>
        <v>13.688000000000001</v>
      </c>
      <c r="K496" s="4"/>
      <c r="L496" s="9">
        <v>29.306000000000001</v>
      </c>
      <c r="M496" s="9">
        <v>12.063700000000001</v>
      </c>
      <c r="N496" s="9">
        <v>4.9444999999999997</v>
      </c>
      <c r="O496" s="9">
        <v>0.37409999999999999</v>
      </c>
      <c r="P496" s="9">
        <v>1.2927</v>
      </c>
      <c r="Q496" s="9">
        <v>19.814599999999999</v>
      </c>
      <c r="R496" s="9"/>
      <c r="S496" s="11"/>
    </row>
    <row r="497" spans="1:19" ht="15.75">
      <c r="A497" s="13">
        <v>56645</v>
      </c>
      <c r="B497" s="8">
        <f>14.6924 * CHOOSE(CONTROL!$C$15, $D$11, 100%, $F$11)</f>
        <v>14.692399999999999</v>
      </c>
      <c r="C497" s="8">
        <f>14.7032 * CHOOSE(CONTROL!$C$15, $D$11, 100%, $F$11)</f>
        <v>14.703200000000001</v>
      </c>
      <c r="D497" s="8">
        <f>14.6848 * CHOOSE( CONTROL!$C$15, $D$11, 100%, $F$11)</f>
        <v>14.684799999999999</v>
      </c>
      <c r="E497" s="12">
        <f>14.6904 * CHOOSE( CONTROL!$C$15, $D$11, 100%, $F$11)</f>
        <v>14.6904</v>
      </c>
      <c r="F497" s="4">
        <f>15.3535 * CHOOSE(CONTROL!$C$15, $D$11, 100%, $F$11)</f>
        <v>15.3535</v>
      </c>
      <c r="G497" s="8">
        <f>14.3571 * CHOOSE( CONTROL!$C$15, $D$11, 100%, $F$11)</f>
        <v>14.357100000000001</v>
      </c>
      <c r="H497" s="4">
        <f>15.2452 * CHOOSE(CONTROL!$C$15, $D$11, 100%, $F$11)</f>
        <v>15.245200000000001</v>
      </c>
      <c r="I497" s="8">
        <f>14.2181 * CHOOSE(CONTROL!$C$15, $D$11, 100%, $F$11)</f>
        <v>14.2181</v>
      </c>
      <c r="J497" s="4">
        <f>14.0917 * CHOOSE(CONTROL!$C$15, $D$11, 100%, $F$11)</f>
        <v>14.091699999999999</v>
      </c>
      <c r="K497" s="4"/>
      <c r="L497" s="9">
        <v>29.306000000000001</v>
      </c>
      <c r="M497" s="9">
        <v>12.063700000000001</v>
      </c>
      <c r="N497" s="9">
        <v>4.9444999999999997</v>
      </c>
      <c r="O497" s="9">
        <v>0.37409999999999999</v>
      </c>
      <c r="P497" s="9">
        <v>1.2927</v>
      </c>
      <c r="Q497" s="9">
        <v>19.751300000000001</v>
      </c>
      <c r="R497" s="9"/>
      <c r="S497" s="11"/>
    </row>
    <row r="498" spans="1:19" ht="15.75">
      <c r="A498" s="13">
        <v>56673</v>
      </c>
      <c r="B498" s="8">
        <f>13.7435 * CHOOSE(CONTROL!$C$15, $D$11, 100%, $F$11)</f>
        <v>13.743499999999999</v>
      </c>
      <c r="C498" s="8">
        <f>13.7543 * CHOOSE(CONTROL!$C$15, $D$11, 100%, $F$11)</f>
        <v>13.754300000000001</v>
      </c>
      <c r="D498" s="8">
        <f>13.7357 * CHOOSE( CONTROL!$C$15, $D$11, 100%, $F$11)</f>
        <v>13.7357</v>
      </c>
      <c r="E498" s="12">
        <f>13.7414 * CHOOSE( CONTROL!$C$15, $D$11, 100%, $F$11)</f>
        <v>13.741400000000001</v>
      </c>
      <c r="F498" s="4">
        <f>14.4046 * CHOOSE(CONTROL!$C$15, $D$11, 100%, $F$11)</f>
        <v>14.4046</v>
      </c>
      <c r="G498" s="8">
        <f>13.4292 * CHOOSE( CONTROL!$C$15, $D$11, 100%, $F$11)</f>
        <v>13.4292</v>
      </c>
      <c r="H498" s="4">
        <f>14.3175 * CHOOSE(CONTROL!$C$15, $D$11, 100%, $F$11)</f>
        <v>14.317500000000001</v>
      </c>
      <c r="I498" s="8">
        <f>13.3062 * CHOOSE(CONTROL!$C$15, $D$11, 100%, $F$11)</f>
        <v>13.3062</v>
      </c>
      <c r="J498" s="4">
        <f>13.1807 * CHOOSE(CONTROL!$C$15, $D$11, 100%, $F$11)</f>
        <v>13.1807</v>
      </c>
      <c r="K498" s="4"/>
      <c r="L498" s="9">
        <v>26.469899999999999</v>
      </c>
      <c r="M498" s="9">
        <v>10.8962</v>
      </c>
      <c r="N498" s="9">
        <v>4.4660000000000002</v>
      </c>
      <c r="O498" s="9">
        <v>0.33789999999999998</v>
      </c>
      <c r="P498" s="9">
        <v>1.1676</v>
      </c>
      <c r="Q498" s="9">
        <v>17.8399</v>
      </c>
      <c r="R498" s="9"/>
      <c r="S498" s="11"/>
    </row>
    <row r="499" spans="1:19" ht="15.75">
      <c r="A499" s="13">
        <v>56704</v>
      </c>
      <c r="B499" s="8">
        <f>13.4513 * CHOOSE(CONTROL!$C$15, $D$11, 100%, $F$11)</f>
        <v>13.4513</v>
      </c>
      <c r="C499" s="8">
        <f>13.462 * CHOOSE(CONTROL!$C$15, $D$11, 100%, $F$11)</f>
        <v>13.462</v>
      </c>
      <c r="D499" s="8">
        <f>13.443 * CHOOSE( CONTROL!$C$15, $D$11, 100%, $F$11)</f>
        <v>13.443</v>
      </c>
      <c r="E499" s="12">
        <f>13.4488 * CHOOSE( CONTROL!$C$15, $D$11, 100%, $F$11)</f>
        <v>13.4488</v>
      </c>
      <c r="F499" s="4">
        <f>14.1124 * CHOOSE(CONTROL!$C$15, $D$11, 100%, $F$11)</f>
        <v>14.112399999999999</v>
      </c>
      <c r="G499" s="8">
        <f>13.1432 * CHOOSE( CONTROL!$C$15, $D$11, 100%, $F$11)</f>
        <v>13.1432</v>
      </c>
      <c r="H499" s="4">
        <f>14.0318 * CHOOSE(CONTROL!$C$15, $D$11, 100%, $F$11)</f>
        <v>14.0318</v>
      </c>
      <c r="I499" s="8">
        <f>13.0239 * CHOOSE(CONTROL!$C$15, $D$11, 100%, $F$11)</f>
        <v>13.023899999999999</v>
      </c>
      <c r="J499" s="4">
        <f>12.9001 * CHOOSE(CONTROL!$C$15, $D$11, 100%, $F$11)</f>
        <v>12.9001</v>
      </c>
      <c r="K499" s="4"/>
      <c r="L499" s="9">
        <v>29.306000000000001</v>
      </c>
      <c r="M499" s="9">
        <v>12.063700000000001</v>
      </c>
      <c r="N499" s="9">
        <v>4.9444999999999997</v>
      </c>
      <c r="O499" s="9">
        <v>0.37409999999999999</v>
      </c>
      <c r="P499" s="9">
        <v>1.2927</v>
      </c>
      <c r="Q499" s="9">
        <v>19.751300000000001</v>
      </c>
      <c r="R499" s="9"/>
      <c r="S499" s="11"/>
    </row>
    <row r="500" spans="1:19" ht="15.75">
      <c r="A500" s="13">
        <v>56734</v>
      </c>
      <c r="B500" s="8">
        <f>13.6554 * CHOOSE(CONTROL!$C$15, $D$11, 100%, $F$11)</f>
        <v>13.6554</v>
      </c>
      <c r="C500" s="8">
        <f>13.6662 * CHOOSE(CONTROL!$C$15, $D$11, 100%, $F$11)</f>
        <v>13.6662</v>
      </c>
      <c r="D500" s="8">
        <f>13.701 * CHOOSE( CONTROL!$C$15, $D$11, 100%, $F$11)</f>
        <v>13.701000000000001</v>
      </c>
      <c r="E500" s="12">
        <f>13.6883 * CHOOSE( CONTROL!$C$15, $D$11, 100%, $F$11)</f>
        <v>13.6883</v>
      </c>
      <c r="F500" s="4">
        <f>14.3843 * CHOOSE(CONTROL!$C$15, $D$11, 100%, $F$11)</f>
        <v>14.3843</v>
      </c>
      <c r="G500" s="8">
        <f>13.3456 * CHOOSE( CONTROL!$C$15, $D$11, 100%, $F$11)</f>
        <v>13.345599999999999</v>
      </c>
      <c r="H500" s="4">
        <f>14.2976 * CHOOSE(CONTROL!$C$15, $D$11, 100%, $F$11)</f>
        <v>14.297599999999999</v>
      </c>
      <c r="I500" s="8">
        <f>13.2153 * CHOOSE(CONTROL!$C$15, $D$11, 100%, $F$11)</f>
        <v>13.215299999999999</v>
      </c>
      <c r="J500" s="4">
        <f>13.0962 * CHOOSE(CONTROL!$C$15, $D$11, 100%, $F$11)</f>
        <v>13.0962</v>
      </c>
      <c r="K500" s="4"/>
      <c r="L500" s="9">
        <v>30.092199999999998</v>
      </c>
      <c r="M500" s="9">
        <v>11.6745</v>
      </c>
      <c r="N500" s="9">
        <v>4.7850000000000001</v>
      </c>
      <c r="O500" s="9">
        <v>0.36199999999999999</v>
      </c>
      <c r="P500" s="9">
        <v>1.1791</v>
      </c>
      <c r="Q500" s="9">
        <v>19.1142</v>
      </c>
      <c r="R500" s="9"/>
      <c r="S500" s="11"/>
    </row>
    <row r="501" spans="1:19" ht="15.75">
      <c r="A501" s="13">
        <v>56765</v>
      </c>
      <c r="B501" s="8">
        <f>CHOOSE( CONTROL!$C$32, 14.0211, 14.0188) * CHOOSE(CONTROL!$C$15, $D$11, 100%, $F$11)</f>
        <v>14.021100000000001</v>
      </c>
      <c r="C501" s="8">
        <f>CHOOSE( CONTROL!$C$32, 14.0317, 14.0294) * CHOOSE(CONTROL!$C$15, $D$11, 100%, $F$11)</f>
        <v>14.031700000000001</v>
      </c>
      <c r="D501" s="8">
        <f>CHOOSE( CONTROL!$C$32, 14.0655, 14.0632) * CHOOSE( CONTROL!$C$15, $D$11, 100%, $F$11)</f>
        <v>14.0655</v>
      </c>
      <c r="E501" s="12">
        <f>CHOOSE( CONTROL!$C$32, 14.0516, 14.0493) * CHOOSE( CONTROL!$C$15, $D$11, 100%, $F$11)</f>
        <v>14.051600000000001</v>
      </c>
      <c r="F501" s="4">
        <f>CHOOSE( CONTROL!$C$32, 14.7501, 14.7478) * CHOOSE(CONTROL!$C$15, $D$11, 100%, $F$11)</f>
        <v>14.7501</v>
      </c>
      <c r="G501" s="8">
        <f>CHOOSE( CONTROL!$C$32, 13.7037, 13.7014) * CHOOSE( CONTROL!$C$15, $D$11, 100%, $F$11)</f>
        <v>13.7037</v>
      </c>
      <c r="H501" s="4">
        <f>CHOOSE( CONTROL!$C$32, 14.6553, 14.653) * CHOOSE(CONTROL!$C$15, $D$11, 100%, $F$11)</f>
        <v>14.6553</v>
      </c>
      <c r="I501" s="8">
        <f>CHOOSE( CONTROL!$C$32, 13.5668, 13.5646) * CHOOSE(CONTROL!$C$15, $D$11, 100%, $F$11)</f>
        <v>13.566800000000001</v>
      </c>
      <c r="J501" s="4">
        <f>CHOOSE( CONTROL!$C$32, 13.4473, 13.4451) * CHOOSE(CONTROL!$C$15, $D$11, 100%, $F$11)</f>
        <v>13.4473</v>
      </c>
      <c r="K501" s="4"/>
      <c r="L501" s="9">
        <v>30.7165</v>
      </c>
      <c r="M501" s="9">
        <v>12.063700000000001</v>
      </c>
      <c r="N501" s="9">
        <v>4.9444999999999997</v>
      </c>
      <c r="O501" s="9">
        <v>0.37409999999999999</v>
      </c>
      <c r="P501" s="9">
        <v>1.2183999999999999</v>
      </c>
      <c r="Q501" s="9">
        <v>19.751300000000001</v>
      </c>
      <c r="R501" s="9"/>
      <c r="S501" s="11"/>
    </row>
    <row r="502" spans="1:19" ht="15.75">
      <c r="A502" s="13">
        <v>56795</v>
      </c>
      <c r="B502" s="8">
        <f>CHOOSE( CONTROL!$C$32, 13.796, 13.7937) * CHOOSE(CONTROL!$C$15, $D$11, 100%, $F$11)</f>
        <v>13.795999999999999</v>
      </c>
      <c r="C502" s="8">
        <f>CHOOSE( CONTROL!$C$32, 13.8065, 13.8042) * CHOOSE(CONTROL!$C$15, $D$11, 100%, $F$11)</f>
        <v>13.8065</v>
      </c>
      <c r="D502" s="8">
        <f>CHOOSE( CONTROL!$C$32, 13.8405, 13.8382) * CHOOSE( CONTROL!$C$15, $D$11, 100%, $F$11)</f>
        <v>13.8405</v>
      </c>
      <c r="E502" s="12">
        <f>CHOOSE( CONTROL!$C$32, 13.8266, 13.8243) * CHOOSE( CONTROL!$C$15, $D$11, 100%, $F$11)</f>
        <v>13.826599999999999</v>
      </c>
      <c r="F502" s="4">
        <f>CHOOSE( CONTROL!$C$32, 14.5249, 14.5226) * CHOOSE(CONTROL!$C$15, $D$11, 100%, $F$11)</f>
        <v>14.524900000000001</v>
      </c>
      <c r="G502" s="8">
        <f>CHOOSE( CONTROL!$C$32, 13.4838, 13.4815) * CHOOSE( CONTROL!$C$15, $D$11, 100%, $F$11)</f>
        <v>13.4838</v>
      </c>
      <c r="H502" s="4">
        <f>CHOOSE( CONTROL!$C$32, 14.4351, 14.4329) * CHOOSE(CONTROL!$C$15, $D$11, 100%, $F$11)</f>
        <v>14.4351</v>
      </c>
      <c r="I502" s="8">
        <f>CHOOSE( CONTROL!$C$32, 13.3512, 13.349) * CHOOSE(CONTROL!$C$15, $D$11, 100%, $F$11)</f>
        <v>13.3512</v>
      </c>
      <c r="J502" s="4">
        <f>CHOOSE( CONTROL!$C$32, 13.2312, 13.229) * CHOOSE(CONTROL!$C$15, $D$11, 100%, $F$11)</f>
        <v>13.231199999999999</v>
      </c>
      <c r="K502" s="4"/>
      <c r="L502" s="9">
        <v>29.7257</v>
      </c>
      <c r="M502" s="9">
        <v>11.6745</v>
      </c>
      <c r="N502" s="9">
        <v>4.7850000000000001</v>
      </c>
      <c r="O502" s="9">
        <v>0.36199999999999999</v>
      </c>
      <c r="P502" s="9">
        <v>1.1791</v>
      </c>
      <c r="Q502" s="9">
        <v>19.1142</v>
      </c>
      <c r="R502" s="9"/>
      <c r="S502" s="11"/>
    </row>
    <row r="503" spans="1:19" ht="15.75">
      <c r="A503" s="13">
        <v>56826</v>
      </c>
      <c r="B503" s="8">
        <f>CHOOSE( CONTROL!$C$32, 14.3889, 14.3866) * CHOOSE(CONTROL!$C$15, $D$11, 100%, $F$11)</f>
        <v>14.3889</v>
      </c>
      <c r="C503" s="8">
        <f>CHOOSE( CONTROL!$C$32, 14.3994, 14.3971) * CHOOSE(CONTROL!$C$15, $D$11, 100%, $F$11)</f>
        <v>14.3994</v>
      </c>
      <c r="D503" s="8">
        <f>CHOOSE( CONTROL!$C$32, 14.4336, 14.4313) * CHOOSE( CONTROL!$C$15, $D$11, 100%, $F$11)</f>
        <v>14.4336</v>
      </c>
      <c r="E503" s="12">
        <f>CHOOSE( CONTROL!$C$32, 14.4196, 14.4173) * CHOOSE( CONTROL!$C$15, $D$11, 100%, $F$11)</f>
        <v>14.419600000000001</v>
      </c>
      <c r="F503" s="4">
        <f>CHOOSE( CONTROL!$C$32, 15.1178, 15.1155) * CHOOSE(CONTROL!$C$15, $D$11, 100%, $F$11)</f>
        <v>15.117800000000001</v>
      </c>
      <c r="G503" s="8">
        <f>CHOOSE( CONTROL!$C$32, 14.0638, 14.0615) * CHOOSE( CONTROL!$C$15, $D$11, 100%, $F$11)</f>
        <v>14.063800000000001</v>
      </c>
      <c r="H503" s="4">
        <f>CHOOSE( CONTROL!$C$32, 15.0148, 15.0126) * CHOOSE(CONTROL!$C$15, $D$11, 100%, $F$11)</f>
        <v>15.014799999999999</v>
      </c>
      <c r="I503" s="8">
        <f>CHOOSE( CONTROL!$C$32, 13.9217, 13.9195) * CHOOSE(CONTROL!$C$15, $D$11, 100%, $F$11)</f>
        <v>13.9217</v>
      </c>
      <c r="J503" s="4">
        <f>CHOOSE( CONTROL!$C$32, 13.8004, 13.7982) * CHOOSE(CONTROL!$C$15, $D$11, 100%, $F$11)</f>
        <v>13.8004</v>
      </c>
      <c r="K503" s="4"/>
      <c r="L503" s="9">
        <v>30.7165</v>
      </c>
      <c r="M503" s="9">
        <v>12.063700000000001</v>
      </c>
      <c r="N503" s="9">
        <v>4.9444999999999997</v>
      </c>
      <c r="O503" s="9">
        <v>0.37409999999999999</v>
      </c>
      <c r="P503" s="9">
        <v>1.2183999999999999</v>
      </c>
      <c r="Q503" s="9">
        <v>19.751300000000001</v>
      </c>
      <c r="R503" s="9"/>
      <c r="S503" s="11"/>
    </row>
    <row r="504" spans="1:19" ht="15.75">
      <c r="A504" s="13">
        <v>56857</v>
      </c>
      <c r="B504" s="8">
        <f>CHOOSE( CONTROL!$C$32, 13.2795, 13.2772) * CHOOSE(CONTROL!$C$15, $D$11, 100%, $F$11)</f>
        <v>13.279500000000001</v>
      </c>
      <c r="C504" s="8">
        <f>CHOOSE( CONTROL!$C$32, 13.2901, 13.2878) * CHOOSE(CONTROL!$C$15, $D$11, 100%, $F$11)</f>
        <v>13.290100000000001</v>
      </c>
      <c r="D504" s="8">
        <f>CHOOSE( CONTROL!$C$32, 13.3243, 13.322) * CHOOSE( CONTROL!$C$15, $D$11, 100%, $F$11)</f>
        <v>13.324299999999999</v>
      </c>
      <c r="E504" s="12">
        <f>CHOOSE( CONTROL!$C$32, 13.3103, 13.308) * CHOOSE( CONTROL!$C$15, $D$11, 100%, $F$11)</f>
        <v>13.3103</v>
      </c>
      <c r="F504" s="4">
        <f>CHOOSE( CONTROL!$C$32, 14.0084, 14.0061) * CHOOSE(CONTROL!$C$15, $D$11, 100%, $F$11)</f>
        <v>14.0084</v>
      </c>
      <c r="G504" s="8">
        <f>CHOOSE( CONTROL!$C$32, 12.9792, 12.977) * CHOOSE( CONTROL!$C$15, $D$11, 100%, $F$11)</f>
        <v>12.979200000000001</v>
      </c>
      <c r="H504" s="4">
        <f>CHOOSE( CONTROL!$C$32, 13.9302, 13.9279) * CHOOSE(CONTROL!$C$15, $D$11, 100%, $F$11)</f>
        <v>13.930199999999999</v>
      </c>
      <c r="I504" s="8">
        <f>CHOOSE( CONTROL!$C$32, 12.8564, 12.8542) * CHOOSE(CONTROL!$C$15, $D$11, 100%, $F$11)</f>
        <v>12.856400000000001</v>
      </c>
      <c r="J504" s="4">
        <f>CHOOSE( CONTROL!$C$32, 12.7353, 12.7331) * CHOOSE(CONTROL!$C$15, $D$11, 100%, $F$11)</f>
        <v>12.735300000000001</v>
      </c>
      <c r="K504" s="4"/>
      <c r="L504" s="9">
        <v>30.7165</v>
      </c>
      <c r="M504" s="9">
        <v>12.063700000000001</v>
      </c>
      <c r="N504" s="9">
        <v>4.9444999999999997</v>
      </c>
      <c r="O504" s="9">
        <v>0.37409999999999999</v>
      </c>
      <c r="P504" s="9">
        <v>1.2183999999999999</v>
      </c>
      <c r="Q504" s="9">
        <v>19.751300000000001</v>
      </c>
      <c r="R504" s="9"/>
      <c r="S504" s="11"/>
    </row>
    <row r="505" spans="1:19" ht="15.75">
      <c r="A505" s="13">
        <v>56887</v>
      </c>
      <c r="B505" s="8">
        <f>CHOOSE( CONTROL!$C$32, 13.0017, 12.9994) * CHOOSE(CONTROL!$C$15, $D$11, 100%, $F$11)</f>
        <v>13.0017</v>
      </c>
      <c r="C505" s="8">
        <f>CHOOSE( CONTROL!$C$32, 13.0123, 13.0099) * CHOOSE(CONTROL!$C$15, $D$11, 100%, $F$11)</f>
        <v>13.0123</v>
      </c>
      <c r="D505" s="8">
        <f>CHOOSE( CONTROL!$C$32, 13.0465, 13.0442) * CHOOSE( CONTROL!$C$15, $D$11, 100%, $F$11)</f>
        <v>13.0465</v>
      </c>
      <c r="E505" s="12">
        <f>CHOOSE( CONTROL!$C$32, 13.0325, 13.0302) * CHOOSE( CONTROL!$C$15, $D$11, 100%, $F$11)</f>
        <v>13.032500000000001</v>
      </c>
      <c r="F505" s="4">
        <f>CHOOSE( CONTROL!$C$32, 13.7306, 13.7283) * CHOOSE(CONTROL!$C$15, $D$11, 100%, $F$11)</f>
        <v>13.730600000000001</v>
      </c>
      <c r="G505" s="8">
        <f>CHOOSE( CONTROL!$C$32, 12.7076, 12.7053) * CHOOSE( CONTROL!$C$15, $D$11, 100%, $F$11)</f>
        <v>12.707599999999999</v>
      </c>
      <c r="H505" s="4">
        <f>CHOOSE( CONTROL!$C$32, 13.6585, 13.6563) * CHOOSE(CONTROL!$C$15, $D$11, 100%, $F$11)</f>
        <v>13.6585</v>
      </c>
      <c r="I505" s="8">
        <f>CHOOSE( CONTROL!$C$32, 12.5894, 12.5872) * CHOOSE(CONTROL!$C$15, $D$11, 100%, $F$11)</f>
        <v>12.589399999999999</v>
      </c>
      <c r="J505" s="4">
        <f>CHOOSE( CONTROL!$C$32, 12.4686, 12.4664) * CHOOSE(CONTROL!$C$15, $D$11, 100%, $F$11)</f>
        <v>12.4686</v>
      </c>
      <c r="K505" s="4"/>
      <c r="L505" s="9">
        <v>29.7257</v>
      </c>
      <c r="M505" s="9">
        <v>11.6745</v>
      </c>
      <c r="N505" s="9">
        <v>4.7850000000000001</v>
      </c>
      <c r="O505" s="9">
        <v>0.36199999999999999</v>
      </c>
      <c r="P505" s="9">
        <v>1.1791</v>
      </c>
      <c r="Q505" s="9">
        <v>19.1142</v>
      </c>
      <c r="R505" s="9"/>
      <c r="S505" s="11"/>
    </row>
    <row r="506" spans="1:19" ht="15.75">
      <c r="A506" s="13">
        <v>56918</v>
      </c>
      <c r="B506" s="8">
        <f>13.5763 * CHOOSE(CONTROL!$C$15, $D$11, 100%, $F$11)</f>
        <v>13.5763</v>
      </c>
      <c r="C506" s="8">
        <f>13.5871 * CHOOSE(CONTROL!$C$15, $D$11, 100%, $F$11)</f>
        <v>13.5871</v>
      </c>
      <c r="D506" s="8">
        <f>13.6225 * CHOOSE( CONTROL!$C$15, $D$11, 100%, $F$11)</f>
        <v>13.6225</v>
      </c>
      <c r="E506" s="12">
        <f>13.6097 * CHOOSE( CONTROL!$C$15, $D$11, 100%, $F$11)</f>
        <v>13.6097</v>
      </c>
      <c r="F506" s="4">
        <f>14.3051 * CHOOSE(CONTROL!$C$15, $D$11, 100%, $F$11)</f>
        <v>14.305099999999999</v>
      </c>
      <c r="G506" s="8">
        <f>13.2691 * CHOOSE( CONTROL!$C$15, $D$11, 100%, $F$11)</f>
        <v>13.2691</v>
      </c>
      <c r="H506" s="4">
        <f>14.2203 * CHOOSE(CONTROL!$C$15, $D$11, 100%, $F$11)</f>
        <v>14.2203</v>
      </c>
      <c r="I506" s="8">
        <f>13.1421 * CHOOSE(CONTROL!$C$15, $D$11, 100%, $F$11)</f>
        <v>13.142099999999999</v>
      </c>
      <c r="J506" s="4">
        <f>13.0202 * CHOOSE(CONTROL!$C$15, $D$11, 100%, $F$11)</f>
        <v>13.020200000000001</v>
      </c>
      <c r="K506" s="4"/>
      <c r="L506" s="9">
        <v>31.095300000000002</v>
      </c>
      <c r="M506" s="9">
        <v>12.063700000000001</v>
      </c>
      <c r="N506" s="9">
        <v>4.9444999999999997</v>
      </c>
      <c r="O506" s="9">
        <v>0.37409999999999999</v>
      </c>
      <c r="P506" s="9">
        <v>1.2183999999999999</v>
      </c>
      <c r="Q506" s="9">
        <v>19.751300000000001</v>
      </c>
      <c r="R506" s="9"/>
      <c r="S506" s="11"/>
    </row>
    <row r="507" spans="1:19" ht="15.75">
      <c r="A507" s="13">
        <v>56948</v>
      </c>
      <c r="B507" s="8">
        <f>14.641 * CHOOSE(CONTROL!$C$15, $D$11, 100%, $F$11)</f>
        <v>14.641</v>
      </c>
      <c r="C507" s="8">
        <f>14.6518 * CHOOSE(CONTROL!$C$15, $D$11, 100%, $F$11)</f>
        <v>14.6518</v>
      </c>
      <c r="D507" s="8">
        <f>14.6278 * CHOOSE( CONTROL!$C$15, $D$11, 100%, $F$11)</f>
        <v>14.627800000000001</v>
      </c>
      <c r="E507" s="12">
        <f>14.6354 * CHOOSE( CONTROL!$C$15, $D$11, 100%, $F$11)</f>
        <v>14.635400000000001</v>
      </c>
      <c r="F507" s="4">
        <f>15.3021 * CHOOSE(CONTROL!$C$15, $D$11, 100%, $F$11)</f>
        <v>15.302099999999999</v>
      </c>
      <c r="G507" s="8">
        <f>14.31 * CHOOSE( CONTROL!$C$15, $D$11, 100%, $F$11)</f>
        <v>14.31</v>
      </c>
      <c r="H507" s="4">
        <f>15.195 * CHOOSE(CONTROL!$C$15, $D$11, 100%, $F$11)</f>
        <v>15.195</v>
      </c>
      <c r="I507" s="8">
        <f>14.2082 * CHOOSE(CONTROL!$C$15, $D$11, 100%, $F$11)</f>
        <v>14.2082</v>
      </c>
      <c r="J507" s="4">
        <f>14.0424 * CHOOSE(CONTROL!$C$15, $D$11, 100%, $F$11)</f>
        <v>14.042400000000001</v>
      </c>
      <c r="K507" s="4"/>
      <c r="L507" s="9">
        <v>28.360600000000002</v>
      </c>
      <c r="M507" s="9">
        <v>11.6745</v>
      </c>
      <c r="N507" s="9">
        <v>4.7850000000000001</v>
      </c>
      <c r="O507" s="9">
        <v>0.36199999999999999</v>
      </c>
      <c r="P507" s="9">
        <v>1.2509999999999999</v>
      </c>
      <c r="Q507" s="9">
        <v>19.1142</v>
      </c>
      <c r="R507" s="9"/>
      <c r="S507" s="11"/>
    </row>
    <row r="508" spans="1:19" ht="15.75">
      <c r="A508" s="13">
        <v>56979</v>
      </c>
      <c r="B508" s="8">
        <f>14.6144 * CHOOSE(CONTROL!$C$15, $D$11, 100%, $F$11)</f>
        <v>14.6144</v>
      </c>
      <c r="C508" s="8">
        <f>14.6252 * CHOOSE(CONTROL!$C$15, $D$11, 100%, $F$11)</f>
        <v>14.6252</v>
      </c>
      <c r="D508" s="8">
        <f>14.6029 * CHOOSE( CONTROL!$C$15, $D$11, 100%, $F$11)</f>
        <v>14.6029</v>
      </c>
      <c r="E508" s="12">
        <f>14.6099 * CHOOSE( CONTROL!$C$15, $D$11, 100%, $F$11)</f>
        <v>14.6099</v>
      </c>
      <c r="F508" s="4">
        <f>15.2755 * CHOOSE(CONTROL!$C$15, $D$11, 100%, $F$11)</f>
        <v>15.275499999999999</v>
      </c>
      <c r="G508" s="8">
        <f>14.2852 * CHOOSE( CONTROL!$C$15, $D$11, 100%, $F$11)</f>
        <v>14.2852</v>
      </c>
      <c r="H508" s="4">
        <f>15.169 * CHOOSE(CONTROL!$C$15, $D$11, 100%, $F$11)</f>
        <v>15.169</v>
      </c>
      <c r="I508" s="8">
        <f>14.1878 * CHOOSE(CONTROL!$C$15, $D$11, 100%, $F$11)</f>
        <v>14.187799999999999</v>
      </c>
      <c r="J508" s="4">
        <f>14.0168 * CHOOSE(CONTROL!$C$15, $D$11, 100%, $F$11)</f>
        <v>14.0168</v>
      </c>
      <c r="K508" s="4"/>
      <c r="L508" s="9">
        <v>29.306000000000001</v>
      </c>
      <c r="M508" s="9">
        <v>12.063700000000001</v>
      </c>
      <c r="N508" s="9">
        <v>4.9444999999999997</v>
      </c>
      <c r="O508" s="9">
        <v>0.37409999999999999</v>
      </c>
      <c r="P508" s="9">
        <v>1.2927</v>
      </c>
      <c r="Q508" s="9">
        <v>19.751300000000001</v>
      </c>
      <c r="R508" s="9"/>
      <c r="S508" s="11"/>
    </row>
    <row r="509" spans="1:19" ht="15.75">
      <c r="A509" s="13">
        <v>57010</v>
      </c>
      <c r="B509" s="8">
        <f>15.0451 * CHOOSE(CONTROL!$C$15, $D$11, 100%, $F$11)</f>
        <v>15.0451</v>
      </c>
      <c r="C509" s="8">
        <f>15.0558 * CHOOSE(CONTROL!$C$15, $D$11, 100%, $F$11)</f>
        <v>15.0558</v>
      </c>
      <c r="D509" s="8">
        <f>15.0374 * CHOOSE( CONTROL!$C$15, $D$11, 100%, $F$11)</f>
        <v>15.0374</v>
      </c>
      <c r="E509" s="12">
        <f>15.043 * CHOOSE( CONTROL!$C$15, $D$11, 100%, $F$11)</f>
        <v>15.042999999999999</v>
      </c>
      <c r="F509" s="4">
        <f>15.7062 * CHOOSE(CONTROL!$C$15, $D$11, 100%, $F$11)</f>
        <v>15.706200000000001</v>
      </c>
      <c r="G509" s="8">
        <f>14.7019 * CHOOSE( CONTROL!$C$15, $D$11, 100%, $F$11)</f>
        <v>14.7019</v>
      </c>
      <c r="H509" s="4">
        <f>15.59 * CHOOSE(CONTROL!$C$15, $D$11, 100%, $F$11)</f>
        <v>15.59</v>
      </c>
      <c r="I509" s="8">
        <f>14.5569 * CHOOSE(CONTROL!$C$15, $D$11, 100%, $F$11)</f>
        <v>14.556900000000001</v>
      </c>
      <c r="J509" s="4">
        <f>14.4303 * CHOOSE(CONTROL!$C$15, $D$11, 100%, $F$11)</f>
        <v>14.430300000000001</v>
      </c>
      <c r="K509" s="4"/>
      <c r="L509" s="9">
        <v>29.306000000000001</v>
      </c>
      <c r="M509" s="9">
        <v>12.063700000000001</v>
      </c>
      <c r="N509" s="9">
        <v>4.9444999999999997</v>
      </c>
      <c r="O509" s="9">
        <v>0.37409999999999999</v>
      </c>
      <c r="P509" s="9">
        <v>1.2927</v>
      </c>
      <c r="Q509" s="9">
        <v>19.688099999999999</v>
      </c>
      <c r="R509" s="9"/>
      <c r="S509" s="11"/>
    </row>
    <row r="510" spans="1:19" ht="15.75">
      <c r="A510" s="13">
        <v>57038</v>
      </c>
      <c r="B510" s="8">
        <f>14.0734 * CHOOSE(CONTROL!$C$15, $D$11, 100%, $F$11)</f>
        <v>14.073399999999999</v>
      </c>
      <c r="C510" s="8">
        <f>14.0842 * CHOOSE(CONTROL!$C$15, $D$11, 100%, $F$11)</f>
        <v>14.084199999999999</v>
      </c>
      <c r="D510" s="8">
        <f>14.0656 * CHOOSE( CONTROL!$C$15, $D$11, 100%, $F$11)</f>
        <v>14.0656</v>
      </c>
      <c r="E510" s="12">
        <f>14.0713 * CHOOSE( CONTROL!$C$15, $D$11, 100%, $F$11)</f>
        <v>14.071300000000001</v>
      </c>
      <c r="F510" s="4">
        <f>14.7345 * CHOOSE(CONTROL!$C$15, $D$11, 100%, $F$11)</f>
        <v>14.734500000000001</v>
      </c>
      <c r="G510" s="8">
        <f>13.7518 * CHOOSE( CONTROL!$C$15, $D$11, 100%, $F$11)</f>
        <v>13.751799999999999</v>
      </c>
      <c r="H510" s="4">
        <f>14.64 * CHOOSE(CONTROL!$C$15, $D$11, 100%, $F$11)</f>
        <v>14.64</v>
      </c>
      <c r="I510" s="8">
        <f>13.623 * CHOOSE(CONTROL!$C$15, $D$11, 100%, $F$11)</f>
        <v>13.622999999999999</v>
      </c>
      <c r="J510" s="4">
        <f>13.4974 * CHOOSE(CONTROL!$C$15, $D$11, 100%, $F$11)</f>
        <v>13.497400000000001</v>
      </c>
      <c r="K510" s="4"/>
      <c r="L510" s="9">
        <v>27.415299999999998</v>
      </c>
      <c r="M510" s="9">
        <v>11.285299999999999</v>
      </c>
      <c r="N510" s="9">
        <v>4.6254999999999997</v>
      </c>
      <c r="O510" s="9">
        <v>0.34989999999999999</v>
      </c>
      <c r="P510" s="9">
        <v>1.2093</v>
      </c>
      <c r="Q510" s="9">
        <v>18.417899999999999</v>
      </c>
      <c r="R510" s="9"/>
      <c r="S510" s="11"/>
    </row>
    <row r="511" spans="1:19" ht="15.75">
      <c r="A511" s="13">
        <v>57070</v>
      </c>
      <c r="B511" s="8">
        <f>13.7741 * CHOOSE(CONTROL!$C$15, $D$11, 100%, $F$11)</f>
        <v>13.774100000000001</v>
      </c>
      <c r="C511" s="8">
        <f>13.7849 * CHOOSE(CONTROL!$C$15, $D$11, 100%, $F$11)</f>
        <v>13.7849</v>
      </c>
      <c r="D511" s="8">
        <f>13.7658 * CHOOSE( CONTROL!$C$15, $D$11, 100%, $F$11)</f>
        <v>13.7658</v>
      </c>
      <c r="E511" s="12">
        <f>13.7716 * CHOOSE( CONTROL!$C$15, $D$11, 100%, $F$11)</f>
        <v>13.771599999999999</v>
      </c>
      <c r="F511" s="4">
        <f>14.4352 * CHOOSE(CONTROL!$C$15, $D$11, 100%, $F$11)</f>
        <v>14.4352</v>
      </c>
      <c r="G511" s="8">
        <f>13.4588 * CHOOSE( CONTROL!$C$15, $D$11, 100%, $F$11)</f>
        <v>13.4588</v>
      </c>
      <c r="H511" s="4">
        <f>14.3474 * CHOOSE(CONTROL!$C$15, $D$11, 100%, $F$11)</f>
        <v>14.3474</v>
      </c>
      <c r="I511" s="8">
        <f>13.334 * CHOOSE(CONTROL!$C$15, $D$11, 100%, $F$11)</f>
        <v>13.334</v>
      </c>
      <c r="J511" s="4">
        <f>13.2101 * CHOOSE(CONTROL!$C$15, $D$11, 100%, $F$11)</f>
        <v>13.210100000000001</v>
      </c>
      <c r="K511" s="4"/>
      <c r="L511" s="9">
        <v>29.306000000000001</v>
      </c>
      <c r="M511" s="9">
        <v>12.063700000000001</v>
      </c>
      <c r="N511" s="9">
        <v>4.9444999999999997</v>
      </c>
      <c r="O511" s="9">
        <v>0.37409999999999999</v>
      </c>
      <c r="P511" s="9">
        <v>1.2927</v>
      </c>
      <c r="Q511" s="9">
        <v>19.688099999999999</v>
      </c>
      <c r="R511" s="9"/>
      <c r="S511" s="11"/>
    </row>
    <row r="512" spans="1:19" ht="15.75">
      <c r="A512" s="13">
        <v>57100</v>
      </c>
      <c r="B512" s="8">
        <f>13.9832 * CHOOSE(CONTROL!$C$15, $D$11, 100%, $F$11)</f>
        <v>13.9832</v>
      </c>
      <c r="C512" s="8">
        <f>13.994 * CHOOSE(CONTROL!$C$15, $D$11, 100%, $F$11)</f>
        <v>13.994</v>
      </c>
      <c r="D512" s="8">
        <f>14.0288 * CHOOSE( CONTROL!$C$15, $D$11, 100%, $F$11)</f>
        <v>14.0288</v>
      </c>
      <c r="E512" s="12">
        <f>14.0161 * CHOOSE( CONTROL!$C$15, $D$11, 100%, $F$11)</f>
        <v>14.0161</v>
      </c>
      <c r="F512" s="4">
        <f>14.7121 * CHOOSE(CONTROL!$C$15, $D$11, 100%, $F$11)</f>
        <v>14.7121</v>
      </c>
      <c r="G512" s="8">
        <f>13.666 * CHOOSE( CONTROL!$C$15, $D$11, 100%, $F$11)</f>
        <v>13.666</v>
      </c>
      <c r="H512" s="4">
        <f>14.6181 * CHOOSE(CONTROL!$C$15, $D$11, 100%, $F$11)</f>
        <v>14.6181</v>
      </c>
      <c r="I512" s="8">
        <f>13.5302 * CHOOSE(CONTROL!$C$15, $D$11, 100%, $F$11)</f>
        <v>13.530200000000001</v>
      </c>
      <c r="J512" s="4">
        <f>13.4108 * CHOOSE(CONTROL!$C$15, $D$11, 100%, $F$11)</f>
        <v>13.4108</v>
      </c>
      <c r="K512" s="4"/>
      <c r="L512" s="9">
        <v>30.092199999999998</v>
      </c>
      <c r="M512" s="9">
        <v>11.6745</v>
      </c>
      <c r="N512" s="9">
        <v>4.7850000000000001</v>
      </c>
      <c r="O512" s="9">
        <v>0.36199999999999999</v>
      </c>
      <c r="P512" s="9">
        <v>1.1791</v>
      </c>
      <c r="Q512" s="9">
        <v>19.053000000000001</v>
      </c>
      <c r="R512" s="9"/>
      <c r="S512" s="11"/>
    </row>
    <row r="513" spans="1:19" ht="15.75">
      <c r="A513" s="13">
        <v>57131</v>
      </c>
      <c r="B513" s="8">
        <f>CHOOSE( CONTROL!$C$32, 14.3576, 14.3553) * CHOOSE(CONTROL!$C$15, $D$11, 100%, $F$11)</f>
        <v>14.3576</v>
      </c>
      <c r="C513" s="8">
        <f>CHOOSE( CONTROL!$C$32, 14.3682, 14.3659) * CHOOSE(CONTROL!$C$15, $D$11, 100%, $F$11)</f>
        <v>14.3682</v>
      </c>
      <c r="D513" s="8">
        <f>CHOOSE( CONTROL!$C$32, 14.402, 14.3997) * CHOOSE( CONTROL!$C$15, $D$11, 100%, $F$11)</f>
        <v>14.401999999999999</v>
      </c>
      <c r="E513" s="12">
        <f>CHOOSE( CONTROL!$C$32, 14.3881, 14.3858) * CHOOSE( CONTROL!$C$15, $D$11, 100%, $F$11)</f>
        <v>14.3881</v>
      </c>
      <c r="F513" s="4">
        <f>CHOOSE( CONTROL!$C$32, 15.0865, 15.0842) * CHOOSE(CONTROL!$C$15, $D$11, 100%, $F$11)</f>
        <v>15.086499999999999</v>
      </c>
      <c r="G513" s="8">
        <f>CHOOSE( CONTROL!$C$32, 14.0326, 14.0304) * CHOOSE( CONTROL!$C$15, $D$11, 100%, $F$11)</f>
        <v>14.0326</v>
      </c>
      <c r="H513" s="4">
        <f>CHOOSE( CONTROL!$C$32, 14.9842, 14.982) * CHOOSE(CONTROL!$C$15, $D$11, 100%, $F$11)</f>
        <v>14.9842</v>
      </c>
      <c r="I513" s="8">
        <f>CHOOSE( CONTROL!$C$32, 13.89, 13.8878) * CHOOSE(CONTROL!$C$15, $D$11, 100%, $F$11)</f>
        <v>13.89</v>
      </c>
      <c r="J513" s="4">
        <f>CHOOSE( CONTROL!$C$32, 13.7704, 13.7682) * CHOOSE(CONTROL!$C$15, $D$11, 100%, $F$11)</f>
        <v>13.7704</v>
      </c>
      <c r="K513" s="4"/>
      <c r="L513" s="9">
        <v>30.7165</v>
      </c>
      <c r="M513" s="9">
        <v>12.063700000000001</v>
      </c>
      <c r="N513" s="9">
        <v>4.9444999999999997</v>
      </c>
      <c r="O513" s="9">
        <v>0.37409999999999999</v>
      </c>
      <c r="P513" s="9">
        <v>1.2183999999999999</v>
      </c>
      <c r="Q513" s="9">
        <v>19.688099999999999</v>
      </c>
      <c r="R513" s="9"/>
      <c r="S513" s="11"/>
    </row>
    <row r="514" spans="1:19" ht="15.75">
      <c r="A514" s="13">
        <v>57161</v>
      </c>
      <c r="B514" s="8">
        <f>CHOOSE( CONTROL!$C$32, 14.127, 14.1247) * CHOOSE(CONTROL!$C$15, $D$11, 100%, $F$11)</f>
        <v>14.127000000000001</v>
      </c>
      <c r="C514" s="8">
        <f>CHOOSE( CONTROL!$C$32, 14.1376, 14.1353) * CHOOSE(CONTROL!$C$15, $D$11, 100%, $F$11)</f>
        <v>14.137600000000001</v>
      </c>
      <c r="D514" s="8">
        <f>CHOOSE( CONTROL!$C$32, 14.1716, 14.1693) * CHOOSE( CONTROL!$C$15, $D$11, 100%, $F$11)</f>
        <v>14.1716</v>
      </c>
      <c r="E514" s="12">
        <f>CHOOSE( CONTROL!$C$32, 14.1577, 14.1554) * CHOOSE( CONTROL!$C$15, $D$11, 100%, $F$11)</f>
        <v>14.1577</v>
      </c>
      <c r="F514" s="4">
        <f>CHOOSE( CONTROL!$C$32, 14.856, 14.8537) * CHOOSE(CONTROL!$C$15, $D$11, 100%, $F$11)</f>
        <v>14.856</v>
      </c>
      <c r="G514" s="8">
        <f>CHOOSE( CONTROL!$C$32, 13.8075, 13.8052) * CHOOSE( CONTROL!$C$15, $D$11, 100%, $F$11)</f>
        <v>13.807499999999999</v>
      </c>
      <c r="H514" s="4">
        <f>CHOOSE( CONTROL!$C$32, 14.7588, 14.7566) * CHOOSE(CONTROL!$C$15, $D$11, 100%, $F$11)</f>
        <v>14.758800000000001</v>
      </c>
      <c r="I514" s="8">
        <f>CHOOSE( CONTROL!$C$32, 13.6693, 13.667) * CHOOSE(CONTROL!$C$15, $D$11, 100%, $F$11)</f>
        <v>13.6693</v>
      </c>
      <c r="J514" s="4">
        <f>CHOOSE( CONTROL!$C$32, 13.549, 13.5468) * CHOOSE(CONTROL!$C$15, $D$11, 100%, $F$11)</f>
        <v>13.548999999999999</v>
      </c>
      <c r="K514" s="4"/>
      <c r="L514" s="9">
        <v>29.7257</v>
      </c>
      <c r="M514" s="9">
        <v>11.6745</v>
      </c>
      <c r="N514" s="9">
        <v>4.7850000000000001</v>
      </c>
      <c r="O514" s="9">
        <v>0.36199999999999999</v>
      </c>
      <c r="P514" s="9">
        <v>1.1791</v>
      </c>
      <c r="Q514" s="9">
        <v>19.053000000000001</v>
      </c>
      <c r="R514" s="9"/>
      <c r="S514" s="11"/>
    </row>
    <row r="515" spans="1:19" ht="15.75">
      <c r="A515" s="13">
        <v>57192</v>
      </c>
      <c r="B515" s="8">
        <f>CHOOSE( CONTROL!$C$32, 14.7342, 14.7319) * CHOOSE(CONTROL!$C$15, $D$11, 100%, $F$11)</f>
        <v>14.7342</v>
      </c>
      <c r="C515" s="8">
        <f>CHOOSE( CONTROL!$C$32, 14.7448, 14.7425) * CHOOSE(CONTROL!$C$15, $D$11, 100%, $F$11)</f>
        <v>14.7448</v>
      </c>
      <c r="D515" s="8">
        <f>CHOOSE( CONTROL!$C$32, 14.779, 14.7767) * CHOOSE( CONTROL!$C$15, $D$11, 100%, $F$11)</f>
        <v>14.779</v>
      </c>
      <c r="E515" s="12">
        <f>CHOOSE( CONTROL!$C$32, 14.765, 14.7627) * CHOOSE( CONTROL!$C$15, $D$11, 100%, $F$11)</f>
        <v>14.765000000000001</v>
      </c>
      <c r="F515" s="4">
        <f>CHOOSE( CONTROL!$C$32, 15.4631, 15.4608) * CHOOSE(CONTROL!$C$15, $D$11, 100%, $F$11)</f>
        <v>15.463100000000001</v>
      </c>
      <c r="G515" s="8">
        <f>CHOOSE( CONTROL!$C$32, 14.4014, 14.3991) * CHOOSE( CONTROL!$C$15, $D$11, 100%, $F$11)</f>
        <v>14.401400000000001</v>
      </c>
      <c r="H515" s="4">
        <f>CHOOSE( CONTROL!$C$32, 15.3524, 15.3502) * CHOOSE(CONTROL!$C$15, $D$11, 100%, $F$11)</f>
        <v>15.352399999999999</v>
      </c>
      <c r="I515" s="8">
        <f>CHOOSE( CONTROL!$C$32, 14.2535, 14.2512) * CHOOSE(CONTROL!$C$15, $D$11, 100%, $F$11)</f>
        <v>14.253500000000001</v>
      </c>
      <c r="J515" s="4">
        <f>CHOOSE( CONTROL!$C$32, 14.132, 14.1298) * CHOOSE(CONTROL!$C$15, $D$11, 100%, $F$11)</f>
        <v>14.132</v>
      </c>
      <c r="K515" s="4"/>
      <c r="L515" s="9">
        <v>30.7165</v>
      </c>
      <c r="M515" s="9">
        <v>12.063700000000001</v>
      </c>
      <c r="N515" s="9">
        <v>4.9444999999999997</v>
      </c>
      <c r="O515" s="9">
        <v>0.37409999999999999</v>
      </c>
      <c r="P515" s="9">
        <v>1.2183999999999999</v>
      </c>
      <c r="Q515" s="9">
        <v>19.688099999999999</v>
      </c>
      <c r="R515" s="9"/>
      <c r="S515" s="11"/>
    </row>
    <row r="516" spans="1:19" ht="15.75">
      <c r="A516" s="13">
        <v>57223</v>
      </c>
      <c r="B516" s="8">
        <f>CHOOSE( CONTROL!$C$32, 13.5981, 13.5958) * CHOOSE(CONTROL!$C$15, $D$11, 100%, $F$11)</f>
        <v>13.598100000000001</v>
      </c>
      <c r="C516" s="8">
        <f>CHOOSE( CONTROL!$C$32, 13.6087, 13.6064) * CHOOSE(CONTROL!$C$15, $D$11, 100%, $F$11)</f>
        <v>13.608700000000001</v>
      </c>
      <c r="D516" s="8">
        <f>CHOOSE( CONTROL!$C$32, 13.643, 13.6407) * CHOOSE( CONTROL!$C$15, $D$11, 100%, $F$11)</f>
        <v>13.643000000000001</v>
      </c>
      <c r="E516" s="12">
        <f>CHOOSE( CONTROL!$C$32, 13.629, 13.6267) * CHOOSE( CONTROL!$C$15, $D$11, 100%, $F$11)</f>
        <v>13.629</v>
      </c>
      <c r="F516" s="4">
        <f>CHOOSE( CONTROL!$C$32, 14.3271, 14.3248) * CHOOSE(CONTROL!$C$15, $D$11, 100%, $F$11)</f>
        <v>14.3271</v>
      </c>
      <c r="G516" s="8">
        <f>CHOOSE( CONTROL!$C$32, 13.2908, 13.2885) * CHOOSE( CONTROL!$C$15, $D$11, 100%, $F$11)</f>
        <v>13.290800000000001</v>
      </c>
      <c r="H516" s="4">
        <f>CHOOSE( CONTROL!$C$32, 14.2417, 14.2395) * CHOOSE(CONTROL!$C$15, $D$11, 100%, $F$11)</f>
        <v>14.2417</v>
      </c>
      <c r="I516" s="8">
        <f>CHOOSE( CONTROL!$C$32, 13.1625, 13.1603) * CHOOSE(CONTROL!$C$15, $D$11, 100%, $F$11)</f>
        <v>13.1625</v>
      </c>
      <c r="J516" s="4">
        <f>CHOOSE( CONTROL!$C$32, 13.0412, 13.039) * CHOOSE(CONTROL!$C$15, $D$11, 100%, $F$11)</f>
        <v>13.0412</v>
      </c>
      <c r="K516" s="4"/>
      <c r="L516" s="9">
        <v>30.7165</v>
      </c>
      <c r="M516" s="9">
        <v>12.063700000000001</v>
      </c>
      <c r="N516" s="9">
        <v>4.9444999999999997</v>
      </c>
      <c r="O516" s="9">
        <v>0.37409999999999999</v>
      </c>
      <c r="P516" s="9">
        <v>1.2183999999999999</v>
      </c>
      <c r="Q516" s="9">
        <v>19.688099999999999</v>
      </c>
      <c r="R516" s="9"/>
      <c r="S516" s="11"/>
    </row>
    <row r="517" spans="1:19" ht="15.75">
      <c r="A517" s="13">
        <v>57253</v>
      </c>
      <c r="B517" s="8">
        <f>CHOOSE( CONTROL!$C$32, 13.3137, 13.3114) * CHOOSE(CONTROL!$C$15, $D$11, 100%, $F$11)</f>
        <v>13.313700000000001</v>
      </c>
      <c r="C517" s="8">
        <f>CHOOSE( CONTROL!$C$32, 13.3242, 13.3219) * CHOOSE(CONTROL!$C$15, $D$11, 100%, $F$11)</f>
        <v>13.324199999999999</v>
      </c>
      <c r="D517" s="8">
        <f>CHOOSE( CONTROL!$C$32, 13.3585, 13.3562) * CHOOSE( CONTROL!$C$15, $D$11, 100%, $F$11)</f>
        <v>13.358499999999999</v>
      </c>
      <c r="E517" s="12">
        <f>CHOOSE( CONTROL!$C$32, 13.3445, 13.3422) * CHOOSE( CONTROL!$C$15, $D$11, 100%, $F$11)</f>
        <v>13.3445</v>
      </c>
      <c r="F517" s="4">
        <f>CHOOSE( CONTROL!$C$32, 14.0426, 14.0403) * CHOOSE(CONTROL!$C$15, $D$11, 100%, $F$11)</f>
        <v>14.0426</v>
      </c>
      <c r="G517" s="8">
        <f>CHOOSE( CONTROL!$C$32, 13.0126, 13.0103) * CHOOSE( CONTROL!$C$15, $D$11, 100%, $F$11)</f>
        <v>13.012600000000001</v>
      </c>
      <c r="H517" s="4">
        <f>CHOOSE( CONTROL!$C$32, 13.9636, 13.9613) * CHOOSE(CONTROL!$C$15, $D$11, 100%, $F$11)</f>
        <v>13.9636</v>
      </c>
      <c r="I517" s="8">
        <f>CHOOSE( CONTROL!$C$32, 12.8891, 12.8869) * CHOOSE(CONTROL!$C$15, $D$11, 100%, $F$11)</f>
        <v>12.889099999999999</v>
      </c>
      <c r="J517" s="4">
        <f>CHOOSE( CONTROL!$C$32, 12.7681, 12.7659) * CHOOSE(CONTROL!$C$15, $D$11, 100%, $F$11)</f>
        <v>12.7681</v>
      </c>
      <c r="K517" s="4"/>
      <c r="L517" s="9">
        <v>29.7257</v>
      </c>
      <c r="M517" s="9">
        <v>11.6745</v>
      </c>
      <c r="N517" s="9">
        <v>4.7850000000000001</v>
      </c>
      <c r="O517" s="9">
        <v>0.36199999999999999</v>
      </c>
      <c r="P517" s="9">
        <v>1.1791</v>
      </c>
      <c r="Q517" s="9">
        <v>19.053000000000001</v>
      </c>
      <c r="R517" s="9"/>
      <c r="S517" s="11"/>
    </row>
    <row r="518" spans="1:19" ht="15.75">
      <c r="A518" s="13">
        <v>57284</v>
      </c>
      <c r="B518" s="8">
        <f>13.9022 * CHOOSE(CONTROL!$C$15, $D$11, 100%, $F$11)</f>
        <v>13.902200000000001</v>
      </c>
      <c r="C518" s="8">
        <f>13.9129 * CHOOSE(CONTROL!$C$15, $D$11, 100%, $F$11)</f>
        <v>13.9129</v>
      </c>
      <c r="D518" s="8">
        <f>13.9483 * CHOOSE( CONTROL!$C$15, $D$11, 100%, $F$11)</f>
        <v>13.9483</v>
      </c>
      <c r="E518" s="12">
        <f>13.9355 * CHOOSE( CONTROL!$C$15, $D$11, 100%, $F$11)</f>
        <v>13.935499999999999</v>
      </c>
      <c r="F518" s="4">
        <f>14.631 * CHOOSE(CONTROL!$C$15, $D$11, 100%, $F$11)</f>
        <v>14.631</v>
      </c>
      <c r="G518" s="8">
        <f>13.5877 * CHOOSE( CONTROL!$C$15, $D$11, 100%, $F$11)</f>
        <v>13.5877</v>
      </c>
      <c r="H518" s="4">
        <f>14.5388 * CHOOSE(CONTROL!$C$15, $D$11, 100%, $F$11)</f>
        <v>14.5388</v>
      </c>
      <c r="I518" s="8">
        <f>13.4551 * CHOOSE(CONTROL!$C$15, $D$11, 100%, $F$11)</f>
        <v>13.4551</v>
      </c>
      <c r="J518" s="4">
        <f>13.333 * CHOOSE(CONTROL!$C$15, $D$11, 100%, $F$11)</f>
        <v>13.333</v>
      </c>
      <c r="K518" s="4"/>
      <c r="L518" s="9">
        <v>31.095300000000002</v>
      </c>
      <c r="M518" s="9">
        <v>12.063700000000001</v>
      </c>
      <c r="N518" s="9">
        <v>4.9444999999999997</v>
      </c>
      <c r="O518" s="9">
        <v>0.37409999999999999</v>
      </c>
      <c r="P518" s="9">
        <v>1.2183999999999999</v>
      </c>
      <c r="Q518" s="9">
        <v>19.688099999999999</v>
      </c>
      <c r="R518" s="9"/>
      <c r="S518" s="11"/>
    </row>
    <row r="519" spans="1:19" ht="15.75">
      <c r="A519" s="13">
        <v>57314</v>
      </c>
      <c r="B519" s="8">
        <f>14.9924 * CHOOSE(CONTROL!$C$15, $D$11, 100%, $F$11)</f>
        <v>14.9924</v>
      </c>
      <c r="C519" s="8">
        <f>15.0032 * CHOOSE(CONTROL!$C$15, $D$11, 100%, $F$11)</f>
        <v>15.0032</v>
      </c>
      <c r="D519" s="8">
        <f>14.9793 * CHOOSE( CONTROL!$C$15, $D$11, 100%, $F$11)</f>
        <v>14.9793</v>
      </c>
      <c r="E519" s="12">
        <f>14.9869 * CHOOSE( CONTROL!$C$15, $D$11, 100%, $F$11)</f>
        <v>14.9869</v>
      </c>
      <c r="F519" s="4">
        <f>15.6535 * CHOOSE(CONTROL!$C$15, $D$11, 100%, $F$11)</f>
        <v>15.653499999999999</v>
      </c>
      <c r="G519" s="8">
        <f>14.6536 * CHOOSE( CONTROL!$C$15, $D$11, 100%, $F$11)</f>
        <v>14.653600000000001</v>
      </c>
      <c r="H519" s="4">
        <f>15.5386 * CHOOSE(CONTROL!$C$15, $D$11, 100%, $F$11)</f>
        <v>15.538600000000001</v>
      </c>
      <c r="I519" s="8">
        <f>14.5458 * CHOOSE(CONTROL!$C$15, $D$11, 100%, $F$11)</f>
        <v>14.5458</v>
      </c>
      <c r="J519" s="4">
        <f>14.3798 * CHOOSE(CONTROL!$C$15, $D$11, 100%, $F$11)</f>
        <v>14.379799999999999</v>
      </c>
      <c r="K519" s="4"/>
      <c r="L519" s="9">
        <v>28.360600000000002</v>
      </c>
      <c r="M519" s="9">
        <v>11.6745</v>
      </c>
      <c r="N519" s="9">
        <v>4.7850000000000001</v>
      </c>
      <c r="O519" s="9">
        <v>0.36199999999999999</v>
      </c>
      <c r="P519" s="9">
        <v>1.2509999999999999</v>
      </c>
      <c r="Q519" s="9">
        <v>19.053000000000001</v>
      </c>
      <c r="R519" s="9"/>
      <c r="S519" s="11"/>
    </row>
    <row r="520" spans="1:19" ht="15.75">
      <c r="A520" s="13">
        <v>57345</v>
      </c>
      <c r="B520" s="8">
        <f>14.9652 * CHOOSE(CONTROL!$C$15, $D$11, 100%, $F$11)</f>
        <v>14.965199999999999</v>
      </c>
      <c r="C520" s="8">
        <f>14.976 * CHOOSE(CONTROL!$C$15, $D$11, 100%, $F$11)</f>
        <v>14.976000000000001</v>
      </c>
      <c r="D520" s="8">
        <f>14.9537 * CHOOSE( CONTROL!$C$15, $D$11, 100%, $F$11)</f>
        <v>14.9537</v>
      </c>
      <c r="E520" s="12">
        <f>14.9607 * CHOOSE( CONTROL!$C$15, $D$11, 100%, $F$11)</f>
        <v>14.960699999999999</v>
      </c>
      <c r="F520" s="4">
        <f>15.6263 * CHOOSE(CONTROL!$C$15, $D$11, 100%, $F$11)</f>
        <v>15.626300000000001</v>
      </c>
      <c r="G520" s="8">
        <f>14.6282 * CHOOSE( CONTROL!$C$15, $D$11, 100%, $F$11)</f>
        <v>14.6282</v>
      </c>
      <c r="H520" s="4">
        <f>15.512 * CHOOSE(CONTROL!$C$15, $D$11, 100%, $F$11)</f>
        <v>15.512</v>
      </c>
      <c r="I520" s="8">
        <f>14.5248 * CHOOSE(CONTROL!$C$15, $D$11, 100%, $F$11)</f>
        <v>14.524800000000001</v>
      </c>
      <c r="J520" s="4">
        <f>14.3536 * CHOOSE(CONTROL!$C$15, $D$11, 100%, $F$11)</f>
        <v>14.3536</v>
      </c>
      <c r="K520" s="4"/>
      <c r="L520" s="9">
        <v>29.306000000000001</v>
      </c>
      <c r="M520" s="9">
        <v>12.063700000000001</v>
      </c>
      <c r="N520" s="9">
        <v>4.9444999999999997</v>
      </c>
      <c r="O520" s="9">
        <v>0.37409999999999999</v>
      </c>
      <c r="P520" s="9">
        <v>1.2927</v>
      </c>
      <c r="Q520" s="9">
        <v>19.688099999999999</v>
      </c>
      <c r="R520" s="9"/>
      <c r="S520" s="11"/>
    </row>
    <row r="521" spans="1:19" ht="15.75">
      <c r="A521" s="13">
        <v>57376</v>
      </c>
      <c r="B521" s="8">
        <f>15.4062 * CHOOSE(CONTROL!$C$15, $D$11, 100%, $F$11)</f>
        <v>15.4062</v>
      </c>
      <c r="C521" s="8">
        <f>15.4169 * CHOOSE(CONTROL!$C$15, $D$11, 100%, $F$11)</f>
        <v>15.4169</v>
      </c>
      <c r="D521" s="8">
        <f>15.3985 * CHOOSE( CONTROL!$C$15, $D$11, 100%, $F$11)</f>
        <v>15.3985</v>
      </c>
      <c r="E521" s="12">
        <f>15.4041 * CHOOSE( CONTROL!$C$15, $D$11, 100%, $F$11)</f>
        <v>15.4041</v>
      </c>
      <c r="F521" s="4">
        <f>16.0673 * CHOOSE(CONTROL!$C$15, $D$11, 100%, $F$11)</f>
        <v>16.067299999999999</v>
      </c>
      <c r="G521" s="8">
        <f>15.0549 * CHOOSE( CONTROL!$C$15, $D$11, 100%, $F$11)</f>
        <v>15.0549</v>
      </c>
      <c r="H521" s="4">
        <f>15.9431 * CHOOSE(CONTROL!$C$15, $D$11, 100%, $F$11)</f>
        <v>15.943099999999999</v>
      </c>
      <c r="I521" s="8">
        <f>14.9038 * CHOOSE(CONTROL!$C$15, $D$11, 100%, $F$11)</f>
        <v>14.9038</v>
      </c>
      <c r="J521" s="4">
        <f>14.777 * CHOOSE(CONTROL!$C$15, $D$11, 100%, $F$11)</f>
        <v>14.776999999999999</v>
      </c>
      <c r="K521" s="4"/>
      <c r="L521" s="9">
        <v>29.306000000000001</v>
      </c>
      <c r="M521" s="9">
        <v>12.063700000000001</v>
      </c>
      <c r="N521" s="9">
        <v>4.9444999999999997</v>
      </c>
      <c r="O521" s="9">
        <v>0.37409999999999999</v>
      </c>
      <c r="P521" s="9">
        <v>1.2927</v>
      </c>
      <c r="Q521" s="9">
        <v>19.688099999999999</v>
      </c>
      <c r="R521" s="9"/>
      <c r="S521" s="11"/>
    </row>
    <row r="522" spans="1:19" ht="15.75">
      <c r="A522" s="13">
        <v>57404</v>
      </c>
      <c r="B522" s="8">
        <f>14.4112 * CHOOSE(CONTROL!$C$15, $D$11, 100%, $F$11)</f>
        <v>14.411199999999999</v>
      </c>
      <c r="C522" s="8">
        <f>14.4219 * CHOOSE(CONTROL!$C$15, $D$11, 100%, $F$11)</f>
        <v>14.421900000000001</v>
      </c>
      <c r="D522" s="8">
        <f>14.4034 * CHOOSE( CONTROL!$C$15, $D$11, 100%, $F$11)</f>
        <v>14.4034</v>
      </c>
      <c r="E522" s="12">
        <f>14.409 * CHOOSE( CONTROL!$C$15, $D$11, 100%, $F$11)</f>
        <v>14.409000000000001</v>
      </c>
      <c r="F522" s="4">
        <f>15.0723 * CHOOSE(CONTROL!$C$15, $D$11, 100%, $F$11)</f>
        <v>15.0723</v>
      </c>
      <c r="G522" s="8">
        <f>14.082 * CHOOSE( CONTROL!$C$15, $D$11, 100%, $F$11)</f>
        <v>14.082000000000001</v>
      </c>
      <c r="H522" s="4">
        <f>14.9703 * CHOOSE(CONTROL!$C$15, $D$11, 100%, $F$11)</f>
        <v>14.9703</v>
      </c>
      <c r="I522" s="8">
        <f>13.9475 * CHOOSE(CONTROL!$C$15, $D$11, 100%, $F$11)</f>
        <v>13.9475</v>
      </c>
      <c r="J522" s="4">
        <f>13.8217 * CHOOSE(CONTROL!$C$15, $D$11, 100%, $F$11)</f>
        <v>13.8217</v>
      </c>
      <c r="K522" s="4"/>
      <c r="L522" s="9">
        <v>26.469899999999999</v>
      </c>
      <c r="M522" s="9">
        <v>10.8962</v>
      </c>
      <c r="N522" s="9">
        <v>4.4660000000000002</v>
      </c>
      <c r="O522" s="9">
        <v>0.33789999999999998</v>
      </c>
      <c r="P522" s="9">
        <v>1.1676</v>
      </c>
      <c r="Q522" s="9">
        <v>17.782800000000002</v>
      </c>
      <c r="R522" s="9"/>
      <c r="S522" s="11"/>
    </row>
    <row r="523" spans="1:19" ht="15.75">
      <c r="A523" s="13">
        <v>57435</v>
      </c>
      <c r="B523" s="8">
        <f>14.1047 * CHOOSE(CONTROL!$C$15, $D$11, 100%, $F$11)</f>
        <v>14.104699999999999</v>
      </c>
      <c r="C523" s="8">
        <f>14.1155 * CHOOSE(CONTROL!$C$15, $D$11, 100%, $F$11)</f>
        <v>14.115500000000001</v>
      </c>
      <c r="D523" s="8">
        <f>14.0964 * CHOOSE( CONTROL!$C$15, $D$11, 100%, $F$11)</f>
        <v>14.096399999999999</v>
      </c>
      <c r="E523" s="12">
        <f>14.1022 * CHOOSE( CONTROL!$C$15, $D$11, 100%, $F$11)</f>
        <v>14.1022</v>
      </c>
      <c r="F523" s="4">
        <f>14.7658 * CHOOSE(CONTROL!$C$15, $D$11, 100%, $F$11)</f>
        <v>14.7658</v>
      </c>
      <c r="G523" s="8">
        <f>13.782 * CHOOSE( CONTROL!$C$15, $D$11, 100%, $F$11)</f>
        <v>13.782</v>
      </c>
      <c r="H523" s="4">
        <f>14.6707 * CHOOSE(CONTROL!$C$15, $D$11, 100%, $F$11)</f>
        <v>14.6707</v>
      </c>
      <c r="I523" s="8">
        <f>13.6516 * CHOOSE(CONTROL!$C$15, $D$11, 100%, $F$11)</f>
        <v>13.6516</v>
      </c>
      <c r="J523" s="4">
        <f>13.5275 * CHOOSE(CONTROL!$C$15, $D$11, 100%, $F$11)</f>
        <v>13.5275</v>
      </c>
      <c r="K523" s="4"/>
      <c r="L523" s="9">
        <v>29.306000000000001</v>
      </c>
      <c r="M523" s="9">
        <v>12.063700000000001</v>
      </c>
      <c r="N523" s="9">
        <v>4.9444999999999997</v>
      </c>
      <c r="O523" s="9">
        <v>0.37409999999999999</v>
      </c>
      <c r="P523" s="9">
        <v>1.2927</v>
      </c>
      <c r="Q523" s="9">
        <v>19.688099999999999</v>
      </c>
      <c r="R523" s="9"/>
      <c r="S523" s="11"/>
    </row>
    <row r="524" spans="1:19" ht="15.75">
      <c r="A524" s="13">
        <v>57465</v>
      </c>
      <c r="B524" s="8">
        <f>14.3188 * CHOOSE(CONTROL!$C$15, $D$11, 100%, $F$11)</f>
        <v>14.3188</v>
      </c>
      <c r="C524" s="8">
        <f>14.3296 * CHOOSE(CONTROL!$C$15, $D$11, 100%, $F$11)</f>
        <v>14.329599999999999</v>
      </c>
      <c r="D524" s="8">
        <f>14.3644 * CHOOSE( CONTROL!$C$15, $D$11, 100%, $F$11)</f>
        <v>14.3644</v>
      </c>
      <c r="E524" s="12">
        <f>14.3517 * CHOOSE( CONTROL!$C$15, $D$11, 100%, $F$11)</f>
        <v>14.351699999999999</v>
      </c>
      <c r="F524" s="4">
        <f>15.0477 * CHOOSE(CONTROL!$C$15, $D$11, 100%, $F$11)</f>
        <v>15.047700000000001</v>
      </c>
      <c r="G524" s="8">
        <f>13.9941 * CHOOSE( CONTROL!$C$15, $D$11, 100%, $F$11)</f>
        <v>13.9941</v>
      </c>
      <c r="H524" s="4">
        <f>14.9462 * CHOOSE(CONTROL!$C$15, $D$11, 100%, $F$11)</f>
        <v>14.946199999999999</v>
      </c>
      <c r="I524" s="8">
        <f>13.8526 * CHOOSE(CONTROL!$C$15, $D$11, 100%, $F$11)</f>
        <v>13.852600000000001</v>
      </c>
      <c r="J524" s="4">
        <f>13.7331 * CHOOSE(CONTROL!$C$15, $D$11, 100%, $F$11)</f>
        <v>13.7331</v>
      </c>
      <c r="K524" s="4"/>
      <c r="L524" s="9">
        <v>30.092199999999998</v>
      </c>
      <c r="M524" s="9">
        <v>11.6745</v>
      </c>
      <c r="N524" s="9">
        <v>4.7850000000000001</v>
      </c>
      <c r="O524" s="9">
        <v>0.36199999999999999</v>
      </c>
      <c r="P524" s="9">
        <v>1.1791</v>
      </c>
      <c r="Q524" s="9">
        <v>19.053000000000001</v>
      </c>
      <c r="R524" s="9"/>
      <c r="S524" s="11"/>
    </row>
    <row r="525" spans="1:19" ht="15.75">
      <c r="A525" s="13">
        <v>57496</v>
      </c>
      <c r="B525" s="8">
        <f>CHOOSE( CONTROL!$C$32, 14.7022, 14.6999) * CHOOSE(CONTROL!$C$15, $D$11, 100%, $F$11)</f>
        <v>14.702199999999999</v>
      </c>
      <c r="C525" s="8">
        <f>CHOOSE( CONTROL!$C$32, 14.7127, 14.7104) * CHOOSE(CONTROL!$C$15, $D$11, 100%, $F$11)</f>
        <v>14.7127</v>
      </c>
      <c r="D525" s="8">
        <f>CHOOSE( CONTROL!$C$32, 14.7466, 14.7443) * CHOOSE( CONTROL!$C$15, $D$11, 100%, $F$11)</f>
        <v>14.746600000000001</v>
      </c>
      <c r="E525" s="12">
        <f>CHOOSE( CONTROL!$C$32, 14.7327, 14.7304) * CHOOSE( CONTROL!$C$15, $D$11, 100%, $F$11)</f>
        <v>14.732699999999999</v>
      </c>
      <c r="F525" s="4">
        <f>CHOOSE( CONTROL!$C$32, 15.4311, 15.4288) * CHOOSE(CONTROL!$C$15, $D$11, 100%, $F$11)</f>
        <v>15.431100000000001</v>
      </c>
      <c r="G525" s="8">
        <f>CHOOSE( CONTROL!$C$32, 14.3695, 14.3673) * CHOOSE( CONTROL!$C$15, $D$11, 100%, $F$11)</f>
        <v>14.3695</v>
      </c>
      <c r="H525" s="4">
        <f>CHOOSE( CONTROL!$C$32, 15.3211, 15.3189) * CHOOSE(CONTROL!$C$15, $D$11, 100%, $F$11)</f>
        <v>15.321099999999999</v>
      </c>
      <c r="I525" s="8">
        <f>CHOOSE( CONTROL!$C$32, 14.221, 14.2187) * CHOOSE(CONTROL!$C$15, $D$11, 100%, $F$11)</f>
        <v>14.221</v>
      </c>
      <c r="J525" s="4">
        <f>CHOOSE( CONTROL!$C$32, 14.1012, 14.099) * CHOOSE(CONTROL!$C$15, $D$11, 100%, $F$11)</f>
        <v>14.1012</v>
      </c>
      <c r="K525" s="4"/>
      <c r="L525" s="9">
        <v>30.7165</v>
      </c>
      <c r="M525" s="9">
        <v>12.063700000000001</v>
      </c>
      <c r="N525" s="9">
        <v>4.9444999999999997</v>
      </c>
      <c r="O525" s="9">
        <v>0.37409999999999999</v>
      </c>
      <c r="P525" s="9">
        <v>1.2183999999999999</v>
      </c>
      <c r="Q525" s="9">
        <v>19.688099999999999</v>
      </c>
      <c r="R525" s="9"/>
      <c r="S525" s="11"/>
    </row>
    <row r="526" spans="1:19" ht="15.75">
      <c r="A526" s="13">
        <v>57526</v>
      </c>
      <c r="B526" s="8">
        <f>CHOOSE( CONTROL!$C$32, 14.4661, 14.4638) * CHOOSE(CONTROL!$C$15, $D$11, 100%, $F$11)</f>
        <v>14.466100000000001</v>
      </c>
      <c r="C526" s="8">
        <f>CHOOSE( CONTROL!$C$32, 14.4766, 14.4743) * CHOOSE(CONTROL!$C$15, $D$11, 100%, $F$11)</f>
        <v>14.476599999999999</v>
      </c>
      <c r="D526" s="8">
        <f>CHOOSE( CONTROL!$C$32, 14.5106, 14.5083) * CHOOSE( CONTROL!$C$15, $D$11, 100%, $F$11)</f>
        <v>14.5106</v>
      </c>
      <c r="E526" s="12">
        <f>CHOOSE( CONTROL!$C$32, 14.4967, 14.4944) * CHOOSE( CONTROL!$C$15, $D$11, 100%, $F$11)</f>
        <v>14.496700000000001</v>
      </c>
      <c r="F526" s="4">
        <f>CHOOSE( CONTROL!$C$32, 15.195, 15.1927) * CHOOSE(CONTROL!$C$15, $D$11, 100%, $F$11)</f>
        <v>15.195</v>
      </c>
      <c r="G526" s="8">
        <f>CHOOSE( CONTROL!$C$32, 14.1389, 14.1367) * CHOOSE( CONTROL!$C$15, $D$11, 100%, $F$11)</f>
        <v>14.1389</v>
      </c>
      <c r="H526" s="4">
        <f>CHOOSE( CONTROL!$C$32, 15.0903, 15.088) * CHOOSE(CONTROL!$C$15, $D$11, 100%, $F$11)</f>
        <v>15.090299999999999</v>
      </c>
      <c r="I526" s="8">
        <f>CHOOSE( CONTROL!$C$32, 13.9949, 13.9927) * CHOOSE(CONTROL!$C$15, $D$11, 100%, $F$11)</f>
        <v>13.994899999999999</v>
      </c>
      <c r="J526" s="4">
        <f>CHOOSE( CONTROL!$C$32, 13.8745, 13.8723) * CHOOSE(CONTROL!$C$15, $D$11, 100%, $F$11)</f>
        <v>13.874499999999999</v>
      </c>
      <c r="K526" s="4"/>
      <c r="L526" s="9">
        <v>29.7257</v>
      </c>
      <c r="M526" s="9">
        <v>11.6745</v>
      </c>
      <c r="N526" s="9">
        <v>4.7850000000000001</v>
      </c>
      <c r="O526" s="9">
        <v>0.36199999999999999</v>
      </c>
      <c r="P526" s="9">
        <v>1.1791</v>
      </c>
      <c r="Q526" s="9">
        <v>19.053000000000001</v>
      </c>
      <c r="R526" s="9"/>
      <c r="S526" s="11"/>
    </row>
    <row r="527" spans="1:19" ht="15.75">
      <c r="A527" s="13">
        <v>57557</v>
      </c>
      <c r="B527" s="8">
        <f>CHOOSE( CONTROL!$C$32, 15.0878, 15.0855) * CHOOSE(CONTROL!$C$15, $D$11, 100%, $F$11)</f>
        <v>15.0878</v>
      </c>
      <c r="C527" s="8">
        <f>CHOOSE( CONTROL!$C$32, 15.0984, 15.0961) * CHOOSE(CONTROL!$C$15, $D$11, 100%, $F$11)</f>
        <v>15.0984</v>
      </c>
      <c r="D527" s="8">
        <f>CHOOSE( CONTROL!$C$32, 15.1326, 15.1303) * CHOOSE( CONTROL!$C$15, $D$11, 100%, $F$11)</f>
        <v>15.1326</v>
      </c>
      <c r="E527" s="12">
        <f>CHOOSE( CONTROL!$C$32, 15.1186, 15.1163) * CHOOSE( CONTROL!$C$15, $D$11, 100%, $F$11)</f>
        <v>15.118600000000001</v>
      </c>
      <c r="F527" s="4">
        <f>CHOOSE( CONTROL!$C$32, 15.8167, 15.8144) * CHOOSE(CONTROL!$C$15, $D$11, 100%, $F$11)</f>
        <v>15.816700000000001</v>
      </c>
      <c r="G527" s="8">
        <f>CHOOSE( CONTROL!$C$32, 14.7471, 14.7449) * CHOOSE( CONTROL!$C$15, $D$11, 100%, $F$11)</f>
        <v>14.7471</v>
      </c>
      <c r="H527" s="4">
        <f>CHOOSE( CONTROL!$C$32, 15.6981, 15.6959) * CHOOSE(CONTROL!$C$15, $D$11, 100%, $F$11)</f>
        <v>15.6981</v>
      </c>
      <c r="I527" s="8">
        <f>CHOOSE( CONTROL!$C$32, 14.5931, 14.5909) * CHOOSE(CONTROL!$C$15, $D$11, 100%, $F$11)</f>
        <v>14.5931</v>
      </c>
      <c r="J527" s="4">
        <f>CHOOSE( CONTROL!$C$32, 14.4715, 14.4693) * CHOOSE(CONTROL!$C$15, $D$11, 100%, $F$11)</f>
        <v>14.471500000000001</v>
      </c>
      <c r="K527" s="4"/>
      <c r="L527" s="9">
        <v>30.7165</v>
      </c>
      <c r="M527" s="9">
        <v>12.063700000000001</v>
      </c>
      <c r="N527" s="9">
        <v>4.9444999999999997</v>
      </c>
      <c r="O527" s="9">
        <v>0.37409999999999999</v>
      </c>
      <c r="P527" s="9">
        <v>1.2183999999999999</v>
      </c>
      <c r="Q527" s="9">
        <v>19.688099999999999</v>
      </c>
      <c r="R527" s="9"/>
      <c r="S527" s="11"/>
    </row>
    <row r="528" spans="1:19" ht="15.75">
      <c r="A528" s="13">
        <v>57588</v>
      </c>
      <c r="B528" s="8">
        <f>CHOOSE( CONTROL!$C$32, 13.9245, 13.9222) * CHOOSE(CONTROL!$C$15, $D$11, 100%, $F$11)</f>
        <v>13.9245</v>
      </c>
      <c r="C528" s="8">
        <f>CHOOSE( CONTROL!$C$32, 13.935, 13.9327) * CHOOSE(CONTROL!$C$15, $D$11, 100%, $F$11)</f>
        <v>13.935</v>
      </c>
      <c r="D528" s="8">
        <f>CHOOSE( CONTROL!$C$32, 13.9693, 13.967) * CHOOSE( CONTROL!$C$15, $D$11, 100%, $F$11)</f>
        <v>13.9693</v>
      </c>
      <c r="E528" s="12">
        <f>CHOOSE( CONTROL!$C$32, 13.9553, 13.953) * CHOOSE( CONTROL!$C$15, $D$11, 100%, $F$11)</f>
        <v>13.955299999999999</v>
      </c>
      <c r="F528" s="4">
        <f>CHOOSE( CONTROL!$C$32, 14.6534, 14.6511) * CHOOSE(CONTROL!$C$15, $D$11, 100%, $F$11)</f>
        <v>14.6534</v>
      </c>
      <c r="G528" s="8">
        <f>CHOOSE( CONTROL!$C$32, 13.6098, 13.6076) * CHOOSE( CONTROL!$C$15, $D$11, 100%, $F$11)</f>
        <v>13.6098</v>
      </c>
      <c r="H528" s="4">
        <f>CHOOSE( CONTROL!$C$32, 14.5607, 14.5585) * CHOOSE(CONTROL!$C$15, $D$11, 100%, $F$11)</f>
        <v>14.560700000000001</v>
      </c>
      <c r="I528" s="8">
        <f>CHOOSE( CONTROL!$C$32, 13.4759, 13.4737) * CHOOSE(CONTROL!$C$15, $D$11, 100%, $F$11)</f>
        <v>13.475899999999999</v>
      </c>
      <c r="J528" s="4">
        <f>CHOOSE( CONTROL!$C$32, 13.3545, 13.3523) * CHOOSE(CONTROL!$C$15, $D$11, 100%, $F$11)</f>
        <v>13.3545</v>
      </c>
      <c r="K528" s="4"/>
      <c r="L528" s="9">
        <v>30.7165</v>
      </c>
      <c r="M528" s="9">
        <v>12.063700000000001</v>
      </c>
      <c r="N528" s="9">
        <v>4.9444999999999997</v>
      </c>
      <c r="O528" s="9">
        <v>0.37409999999999999</v>
      </c>
      <c r="P528" s="9">
        <v>1.2183999999999999</v>
      </c>
      <c r="Q528" s="9">
        <v>19.688099999999999</v>
      </c>
      <c r="R528" s="9"/>
      <c r="S528" s="11"/>
    </row>
    <row r="529" spans="1:19" ht="15.75">
      <c r="A529" s="13">
        <v>57618</v>
      </c>
      <c r="B529" s="8">
        <f>CHOOSE( CONTROL!$C$32, 13.6331, 13.6308) * CHOOSE(CONTROL!$C$15, $D$11, 100%, $F$11)</f>
        <v>13.633100000000001</v>
      </c>
      <c r="C529" s="8">
        <f>CHOOSE( CONTROL!$C$32, 13.6437, 13.6414) * CHOOSE(CONTROL!$C$15, $D$11, 100%, $F$11)</f>
        <v>13.643700000000001</v>
      </c>
      <c r="D529" s="8">
        <f>CHOOSE( CONTROL!$C$32, 13.6779, 13.6756) * CHOOSE( CONTROL!$C$15, $D$11, 100%, $F$11)</f>
        <v>13.677899999999999</v>
      </c>
      <c r="E529" s="12">
        <f>CHOOSE( CONTROL!$C$32, 13.6639, 13.6616) * CHOOSE( CONTROL!$C$15, $D$11, 100%, $F$11)</f>
        <v>13.6639</v>
      </c>
      <c r="F529" s="4">
        <f>CHOOSE( CONTROL!$C$32, 14.3621, 14.3598) * CHOOSE(CONTROL!$C$15, $D$11, 100%, $F$11)</f>
        <v>14.3621</v>
      </c>
      <c r="G529" s="8">
        <f>CHOOSE( CONTROL!$C$32, 13.325, 13.3227) * CHOOSE( CONTROL!$C$15, $D$11, 100%, $F$11)</f>
        <v>13.324999999999999</v>
      </c>
      <c r="H529" s="4">
        <f>CHOOSE( CONTROL!$C$32, 14.2759, 14.2737) * CHOOSE(CONTROL!$C$15, $D$11, 100%, $F$11)</f>
        <v>14.2759</v>
      </c>
      <c r="I529" s="8">
        <f>CHOOSE( CONTROL!$C$32, 13.196, 13.1937) * CHOOSE(CONTROL!$C$15, $D$11, 100%, $F$11)</f>
        <v>13.196</v>
      </c>
      <c r="J529" s="4">
        <f>CHOOSE( CONTROL!$C$32, 13.0749, 13.0726) * CHOOSE(CONTROL!$C$15, $D$11, 100%, $F$11)</f>
        <v>13.0749</v>
      </c>
      <c r="K529" s="4"/>
      <c r="L529" s="9">
        <v>29.7257</v>
      </c>
      <c r="M529" s="9">
        <v>11.6745</v>
      </c>
      <c r="N529" s="9">
        <v>4.7850000000000001</v>
      </c>
      <c r="O529" s="9">
        <v>0.36199999999999999</v>
      </c>
      <c r="P529" s="9">
        <v>1.1791</v>
      </c>
      <c r="Q529" s="9">
        <v>19.053000000000001</v>
      </c>
      <c r="R529" s="9"/>
      <c r="S529" s="11"/>
    </row>
    <row r="530" spans="1:19" ht="15.75">
      <c r="A530" s="13">
        <v>57649</v>
      </c>
      <c r="B530" s="8">
        <f>14.2358 * CHOOSE(CONTROL!$C$15, $D$11, 100%, $F$11)</f>
        <v>14.235799999999999</v>
      </c>
      <c r="C530" s="8">
        <f>14.2466 * CHOOSE(CONTROL!$C$15, $D$11, 100%, $F$11)</f>
        <v>14.246600000000001</v>
      </c>
      <c r="D530" s="8">
        <f>14.282 * CHOOSE( CONTROL!$C$15, $D$11, 100%, $F$11)</f>
        <v>14.282</v>
      </c>
      <c r="E530" s="12">
        <f>14.2692 * CHOOSE( CONTROL!$C$15, $D$11, 100%, $F$11)</f>
        <v>14.2692</v>
      </c>
      <c r="F530" s="4">
        <f>14.9647 * CHOOSE(CONTROL!$C$15, $D$11, 100%, $F$11)</f>
        <v>14.964700000000001</v>
      </c>
      <c r="G530" s="8">
        <f>13.9139 * CHOOSE( CONTROL!$C$15, $D$11, 100%, $F$11)</f>
        <v>13.9139</v>
      </c>
      <c r="H530" s="4">
        <f>14.8651 * CHOOSE(CONTROL!$C$15, $D$11, 100%, $F$11)</f>
        <v>14.8651</v>
      </c>
      <c r="I530" s="8">
        <f>13.7757 * CHOOSE(CONTROL!$C$15, $D$11, 100%, $F$11)</f>
        <v>13.775700000000001</v>
      </c>
      <c r="J530" s="4">
        <f>13.6534 * CHOOSE(CONTROL!$C$15, $D$11, 100%, $F$11)</f>
        <v>13.6534</v>
      </c>
      <c r="K530" s="4"/>
      <c r="L530" s="9">
        <v>31.095300000000002</v>
      </c>
      <c r="M530" s="9">
        <v>12.063700000000001</v>
      </c>
      <c r="N530" s="9">
        <v>4.9444999999999997</v>
      </c>
      <c r="O530" s="9">
        <v>0.37409999999999999</v>
      </c>
      <c r="P530" s="9">
        <v>1.2183999999999999</v>
      </c>
      <c r="Q530" s="9">
        <v>19.688099999999999</v>
      </c>
      <c r="R530" s="9"/>
      <c r="S530" s="11"/>
    </row>
    <row r="531" spans="1:19" ht="15.75">
      <c r="A531" s="13">
        <v>57679</v>
      </c>
      <c r="B531" s="8">
        <f>15.3523 * CHOOSE(CONTROL!$C$15, $D$11, 100%, $F$11)</f>
        <v>15.3523</v>
      </c>
      <c r="C531" s="8">
        <f>15.3631 * CHOOSE(CONTROL!$C$15, $D$11, 100%, $F$11)</f>
        <v>15.363099999999999</v>
      </c>
      <c r="D531" s="8">
        <f>15.3391 * CHOOSE( CONTROL!$C$15, $D$11, 100%, $F$11)</f>
        <v>15.3391</v>
      </c>
      <c r="E531" s="12">
        <f>15.3467 * CHOOSE( CONTROL!$C$15, $D$11, 100%, $F$11)</f>
        <v>15.3467</v>
      </c>
      <c r="F531" s="4">
        <f>16.0134 * CHOOSE(CONTROL!$C$15, $D$11, 100%, $F$11)</f>
        <v>16.013400000000001</v>
      </c>
      <c r="G531" s="8">
        <f>15.0054 * CHOOSE( CONTROL!$C$15, $D$11, 100%, $F$11)</f>
        <v>15.0054</v>
      </c>
      <c r="H531" s="4">
        <f>15.8904 * CHOOSE(CONTROL!$C$15, $D$11, 100%, $F$11)</f>
        <v>15.8904</v>
      </c>
      <c r="I531" s="8">
        <f>14.8914 * CHOOSE(CONTROL!$C$15, $D$11, 100%, $F$11)</f>
        <v>14.891400000000001</v>
      </c>
      <c r="J531" s="4">
        <f>14.7253 * CHOOSE(CONTROL!$C$15, $D$11, 100%, $F$11)</f>
        <v>14.725300000000001</v>
      </c>
      <c r="K531" s="4"/>
      <c r="L531" s="9">
        <v>28.360600000000002</v>
      </c>
      <c r="M531" s="9">
        <v>11.6745</v>
      </c>
      <c r="N531" s="9">
        <v>4.7850000000000001</v>
      </c>
      <c r="O531" s="9">
        <v>0.36199999999999999</v>
      </c>
      <c r="P531" s="9">
        <v>1.2509999999999999</v>
      </c>
      <c r="Q531" s="9">
        <v>19.053000000000001</v>
      </c>
      <c r="R531" s="9"/>
      <c r="S531" s="11"/>
    </row>
    <row r="532" spans="1:19" ht="15.75">
      <c r="A532" s="13">
        <v>57710</v>
      </c>
      <c r="B532" s="8">
        <f>15.3244 * CHOOSE(CONTROL!$C$15, $D$11, 100%, $F$11)</f>
        <v>15.324400000000001</v>
      </c>
      <c r="C532" s="8">
        <f>15.3352 * CHOOSE(CONTROL!$C$15, $D$11, 100%, $F$11)</f>
        <v>15.3352</v>
      </c>
      <c r="D532" s="8">
        <f>15.3129 * CHOOSE( CONTROL!$C$15, $D$11, 100%, $F$11)</f>
        <v>15.312900000000001</v>
      </c>
      <c r="E532" s="12">
        <f>15.3199 * CHOOSE( CONTROL!$C$15, $D$11, 100%, $F$11)</f>
        <v>15.319900000000001</v>
      </c>
      <c r="F532" s="4">
        <f>15.9855 * CHOOSE(CONTROL!$C$15, $D$11, 100%, $F$11)</f>
        <v>15.9855</v>
      </c>
      <c r="G532" s="8">
        <f>14.9794 * CHOOSE( CONTROL!$C$15, $D$11, 100%, $F$11)</f>
        <v>14.9794</v>
      </c>
      <c r="H532" s="4">
        <f>15.8632 * CHOOSE(CONTROL!$C$15, $D$11, 100%, $F$11)</f>
        <v>15.863200000000001</v>
      </c>
      <c r="I532" s="8">
        <f>14.8698 * CHOOSE(CONTROL!$C$15, $D$11, 100%, $F$11)</f>
        <v>14.8698</v>
      </c>
      <c r="J532" s="4">
        <f>14.6985 * CHOOSE(CONTROL!$C$15, $D$11, 100%, $F$11)</f>
        <v>14.698499999999999</v>
      </c>
      <c r="K532" s="4"/>
      <c r="L532" s="9">
        <v>29.306000000000001</v>
      </c>
      <c r="M532" s="9">
        <v>12.063700000000001</v>
      </c>
      <c r="N532" s="9">
        <v>4.9444999999999997</v>
      </c>
      <c r="O532" s="9">
        <v>0.37409999999999999</v>
      </c>
      <c r="P532" s="9">
        <v>1.2927</v>
      </c>
      <c r="Q532" s="9">
        <v>19.688099999999999</v>
      </c>
      <c r="R532" s="9"/>
      <c r="S532" s="11"/>
    </row>
    <row r="533" spans="1:19" ht="15.75">
      <c r="A533" s="13">
        <v>57741</v>
      </c>
      <c r="B533" s="8">
        <f>15.776 * CHOOSE(CONTROL!$C$15, $D$11, 100%, $F$11)</f>
        <v>15.776</v>
      </c>
      <c r="C533" s="8">
        <f>15.7868 * CHOOSE(CONTROL!$C$15, $D$11, 100%, $F$11)</f>
        <v>15.786799999999999</v>
      </c>
      <c r="D533" s="8">
        <f>15.7684 * CHOOSE( CONTROL!$C$15, $D$11, 100%, $F$11)</f>
        <v>15.7684</v>
      </c>
      <c r="E533" s="12">
        <f>15.774 * CHOOSE( CONTROL!$C$15, $D$11, 100%, $F$11)</f>
        <v>15.773999999999999</v>
      </c>
      <c r="F533" s="4">
        <f>16.4371 * CHOOSE(CONTROL!$C$15, $D$11, 100%, $F$11)</f>
        <v>16.437100000000001</v>
      </c>
      <c r="G533" s="8">
        <f>15.4165 * CHOOSE( CONTROL!$C$15, $D$11, 100%, $F$11)</f>
        <v>15.416499999999999</v>
      </c>
      <c r="H533" s="4">
        <f>16.3047 * CHOOSE(CONTROL!$C$15, $D$11, 100%, $F$11)</f>
        <v>16.3047</v>
      </c>
      <c r="I533" s="8">
        <f>15.259 * CHOOSE(CONTROL!$C$15, $D$11, 100%, $F$11)</f>
        <v>15.259</v>
      </c>
      <c r="J533" s="4">
        <f>15.1321 * CHOOSE(CONTROL!$C$15, $D$11, 100%, $F$11)</f>
        <v>15.132099999999999</v>
      </c>
      <c r="K533" s="4"/>
      <c r="L533" s="9">
        <v>29.306000000000001</v>
      </c>
      <c r="M533" s="9">
        <v>12.063700000000001</v>
      </c>
      <c r="N533" s="9">
        <v>4.9444999999999997</v>
      </c>
      <c r="O533" s="9">
        <v>0.37409999999999999</v>
      </c>
      <c r="P533" s="9">
        <v>1.2927</v>
      </c>
      <c r="Q533" s="9">
        <v>19.688099999999999</v>
      </c>
      <c r="R533" s="9"/>
      <c r="S533" s="11"/>
    </row>
    <row r="534" spans="1:19" ht="15.75">
      <c r="A534" s="13">
        <v>57769</v>
      </c>
      <c r="B534" s="8">
        <f>14.7571 * CHOOSE(CONTROL!$C$15, $D$11, 100%, $F$11)</f>
        <v>14.757099999999999</v>
      </c>
      <c r="C534" s="8">
        <f>14.7678 * CHOOSE(CONTROL!$C$15, $D$11, 100%, $F$11)</f>
        <v>14.767799999999999</v>
      </c>
      <c r="D534" s="8">
        <f>14.7493 * CHOOSE( CONTROL!$C$15, $D$11, 100%, $F$11)</f>
        <v>14.7493</v>
      </c>
      <c r="E534" s="12">
        <f>14.7549 * CHOOSE( CONTROL!$C$15, $D$11, 100%, $F$11)</f>
        <v>14.754899999999999</v>
      </c>
      <c r="F534" s="4">
        <f>15.4182 * CHOOSE(CONTROL!$C$15, $D$11, 100%, $F$11)</f>
        <v>15.418200000000001</v>
      </c>
      <c r="G534" s="8">
        <f>14.4202 * CHOOSE( CONTROL!$C$15, $D$11, 100%, $F$11)</f>
        <v>14.420199999999999</v>
      </c>
      <c r="H534" s="4">
        <f>15.3085 * CHOOSE(CONTROL!$C$15, $D$11, 100%, $F$11)</f>
        <v>15.3085</v>
      </c>
      <c r="I534" s="8">
        <f>14.2797 * CHOOSE(CONTROL!$C$15, $D$11, 100%, $F$11)</f>
        <v>14.2797</v>
      </c>
      <c r="J534" s="4">
        <f>14.1538 * CHOOSE(CONTROL!$C$15, $D$11, 100%, $F$11)</f>
        <v>14.1538</v>
      </c>
      <c r="K534" s="4"/>
      <c r="L534" s="9">
        <v>26.469899999999999</v>
      </c>
      <c r="M534" s="9">
        <v>10.8962</v>
      </c>
      <c r="N534" s="9">
        <v>4.4660000000000002</v>
      </c>
      <c r="O534" s="9">
        <v>0.33789999999999998</v>
      </c>
      <c r="P534" s="9">
        <v>1.1676</v>
      </c>
      <c r="Q534" s="9">
        <v>17.782800000000002</v>
      </c>
      <c r="R534" s="9"/>
      <c r="S534" s="11"/>
    </row>
    <row r="535" spans="1:19" ht="15.75">
      <c r="A535" s="13">
        <v>57800</v>
      </c>
      <c r="B535" s="8">
        <f>14.4433 * CHOOSE(CONTROL!$C$15, $D$11, 100%, $F$11)</f>
        <v>14.443300000000001</v>
      </c>
      <c r="C535" s="8">
        <f>14.454 * CHOOSE(CONTROL!$C$15, $D$11, 100%, $F$11)</f>
        <v>14.454000000000001</v>
      </c>
      <c r="D535" s="8">
        <f>14.435 * CHOOSE( CONTROL!$C$15, $D$11, 100%, $F$11)</f>
        <v>14.435</v>
      </c>
      <c r="E535" s="12">
        <f>14.4408 * CHOOSE( CONTROL!$C$15, $D$11, 100%, $F$11)</f>
        <v>14.440799999999999</v>
      </c>
      <c r="F535" s="4">
        <f>15.1044 * CHOOSE(CONTROL!$C$15, $D$11, 100%, $F$11)</f>
        <v>15.1044</v>
      </c>
      <c r="G535" s="8">
        <f>14.113 * CHOOSE( CONTROL!$C$15, $D$11, 100%, $F$11)</f>
        <v>14.113</v>
      </c>
      <c r="H535" s="4">
        <f>15.0016 * CHOOSE(CONTROL!$C$15, $D$11, 100%, $F$11)</f>
        <v>15.0016</v>
      </c>
      <c r="I535" s="8">
        <f>13.9768 * CHOOSE(CONTROL!$C$15, $D$11, 100%, $F$11)</f>
        <v>13.976800000000001</v>
      </c>
      <c r="J535" s="4">
        <f>13.8525 * CHOOSE(CONTROL!$C$15, $D$11, 100%, $F$11)</f>
        <v>13.852499999999999</v>
      </c>
      <c r="K535" s="4"/>
      <c r="L535" s="9">
        <v>29.306000000000001</v>
      </c>
      <c r="M535" s="9">
        <v>12.063700000000001</v>
      </c>
      <c r="N535" s="9">
        <v>4.9444999999999997</v>
      </c>
      <c r="O535" s="9">
        <v>0.37409999999999999</v>
      </c>
      <c r="P535" s="9">
        <v>1.2927</v>
      </c>
      <c r="Q535" s="9">
        <v>19.688099999999999</v>
      </c>
      <c r="R535" s="9"/>
      <c r="S535" s="11"/>
    </row>
    <row r="536" spans="1:19" ht="15.75">
      <c r="A536" s="13">
        <v>57830</v>
      </c>
      <c r="B536" s="8">
        <f>14.6625 * CHOOSE(CONTROL!$C$15, $D$11, 100%, $F$11)</f>
        <v>14.6625</v>
      </c>
      <c r="C536" s="8">
        <f>14.6733 * CHOOSE(CONTROL!$C$15, $D$11, 100%, $F$11)</f>
        <v>14.673299999999999</v>
      </c>
      <c r="D536" s="8">
        <f>14.7081 * CHOOSE( CONTROL!$C$15, $D$11, 100%, $F$11)</f>
        <v>14.7081</v>
      </c>
      <c r="E536" s="12">
        <f>14.6954 * CHOOSE( CONTROL!$C$15, $D$11, 100%, $F$11)</f>
        <v>14.695399999999999</v>
      </c>
      <c r="F536" s="4">
        <f>15.3914 * CHOOSE(CONTROL!$C$15, $D$11, 100%, $F$11)</f>
        <v>15.391400000000001</v>
      </c>
      <c r="G536" s="8">
        <f>14.3302 * CHOOSE( CONTROL!$C$15, $D$11, 100%, $F$11)</f>
        <v>14.3302</v>
      </c>
      <c r="H536" s="4">
        <f>15.2822 * CHOOSE(CONTROL!$C$15, $D$11, 100%, $F$11)</f>
        <v>15.2822</v>
      </c>
      <c r="I536" s="8">
        <f>14.1827 * CHOOSE(CONTROL!$C$15, $D$11, 100%, $F$11)</f>
        <v>14.182700000000001</v>
      </c>
      <c r="J536" s="4">
        <f>14.063 * CHOOSE(CONTROL!$C$15, $D$11, 100%, $F$11)</f>
        <v>14.063000000000001</v>
      </c>
      <c r="K536" s="4"/>
      <c r="L536" s="9">
        <v>30.092199999999998</v>
      </c>
      <c r="M536" s="9">
        <v>11.6745</v>
      </c>
      <c r="N536" s="9">
        <v>4.7850000000000001</v>
      </c>
      <c r="O536" s="9">
        <v>0.36199999999999999</v>
      </c>
      <c r="P536" s="9">
        <v>1.1791</v>
      </c>
      <c r="Q536" s="9">
        <v>19.053000000000001</v>
      </c>
      <c r="R536" s="9"/>
      <c r="S536" s="11"/>
    </row>
    <row r="537" spans="1:19" ht="15.75">
      <c r="A537" s="13">
        <v>57861</v>
      </c>
      <c r="B537" s="8">
        <f>CHOOSE( CONTROL!$C$32, 15.055, 15.0527) * CHOOSE(CONTROL!$C$15, $D$11, 100%, $F$11)</f>
        <v>15.055</v>
      </c>
      <c r="C537" s="8">
        <f>CHOOSE( CONTROL!$C$32, 15.0656, 15.0633) * CHOOSE(CONTROL!$C$15, $D$11, 100%, $F$11)</f>
        <v>15.0656</v>
      </c>
      <c r="D537" s="8">
        <f>CHOOSE( CONTROL!$C$32, 15.0994, 15.0971) * CHOOSE( CONTROL!$C$15, $D$11, 100%, $F$11)</f>
        <v>15.099399999999999</v>
      </c>
      <c r="E537" s="12">
        <f>CHOOSE( CONTROL!$C$32, 15.0855, 15.0832) * CHOOSE( CONTROL!$C$15, $D$11, 100%, $F$11)</f>
        <v>15.0855</v>
      </c>
      <c r="F537" s="4">
        <f>CHOOSE( CONTROL!$C$32, 15.7839, 15.7816) * CHOOSE(CONTROL!$C$15, $D$11, 100%, $F$11)</f>
        <v>15.783899999999999</v>
      </c>
      <c r="G537" s="8">
        <f>CHOOSE( CONTROL!$C$32, 14.7145, 14.7122) * CHOOSE( CONTROL!$C$15, $D$11, 100%, $F$11)</f>
        <v>14.714499999999999</v>
      </c>
      <c r="H537" s="4">
        <f>CHOOSE( CONTROL!$C$32, 15.6661, 15.6638) * CHOOSE(CONTROL!$C$15, $D$11, 100%, $F$11)</f>
        <v>15.6661</v>
      </c>
      <c r="I537" s="8">
        <f>CHOOSE( CONTROL!$C$32, 14.5599, 14.5577) * CHOOSE(CONTROL!$C$15, $D$11, 100%, $F$11)</f>
        <v>14.559900000000001</v>
      </c>
      <c r="J537" s="4">
        <f>CHOOSE( CONTROL!$C$32, 14.44, 14.4378) * CHOOSE(CONTROL!$C$15, $D$11, 100%, $F$11)</f>
        <v>14.44</v>
      </c>
      <c r="K537" s="4"/>
      <c r="L537" s="9">
        <v>30.7165</v>
      </c>
      <c r="M537" s="9">
        <v>12.063700000000001</v>
      </c>
      <c r="N537" s="9">
        <v>4.9444999999999997</v>
      </c>
      <c r="O537" s="9">
        <v>0.37409999999999999</v>
      </c>
      <c r="P537" s="9">
        <v>1.2183999999999999</v>
      </c>
      <c r="Q537" s="9">
        <v>19.688099999999999</v>
      </c>
      <c r="R537" s="9"/>
      <c r="S537" s="11"/>
    </row>
    <row r="538" spans="1:19" ht="15.75">
      <c r="A538" s="13">
        <v>57891</v>
      </c>
      <c r="B538" s="8">
        <f>CHOOSE( CONTROL!$C$32, 14.8132, 14.8109) * CHOOSE(CONTROL!$C$15, $D$11, 100%, $F$11)</f>
        <v>14.8132</v>
      </c>
      <c r="C538" s="8">
        <f>CHOOSE( CONTROL!$C$32, 14.8238, 14.8215) * CHOOSE(CONTROL!$C$15, $D$11, 100%, $F$11)</f>
        <v>14.8238</v>
      </c>
      <c r="D538" s="8">
        <f>CHOOSE( CONTROL!$C$32, 14.8578, 14.8555) * CHOOSE( CONTROL!$C$15, $D$11, 100%, $F$11)</f>
        <v>14.857799999999999</v>
      </c>
      <c r="E538" s="12">
        <f>CHOOSE( CONTROL!$C$32, 14.8439, 14.8416) * CHOOSE( CONTROL!$C$15, $D$11, 100%, $F$11)</f>
        <v>14.8439</v>
      </c>
      <c r="F538" s="4">
        <f>CHOOSE( CONTROL!$C$32, 15.5422, 15.5399) * CHOOSE(CONTROL!$C$15, $D$11, 100%, $F$11)</f>
        <v>15.542199999999999</v>
      </c>
      <c r="G538" s="8">
        <f>CHOOSE( CONTROL!$C$32, 14.4784, 14.4761) * CHOOSE( CONTROL!$C$15, $D$11, 100%, $F$11)</f>
        <v>14.478400000000001</v>
      </c>
      <c r="H538" s="4">
        <f>CHOOSE( CONTROL!$C$32, 15.4297, 15.4274) * CHOOSE(CONTROL!$C$15, $D$11, 100%, $F$11)</f>
        <v>15.4297</v>
      </c>
      <c r="I538" s="8">
        <f>CHOOSE( CONTROL!$C$32, 14.3284, 14.3262) * CHOOSE(CONTROL!$C$15, $D$11, 100%, $F$11)</f>
        <v>14.3284</v>
      </c>
      <c r="J538" s="4">
        <f>CHOOSE( CONTROL!$C$32, 14.2078, 14.2056) * CHOOSE(CONTROL!$C$15, $D$11, 100%, $F$11)</f>
        <v>14.207800000000001</v>
      </c>
      <c r="K538" s="4"/>
      <c r="L538" s="9">
        <v>29.7257</v>
      </c>
      <c r="M538" s="9">
        <v>11.6745</v>
      </c>
      <c r="N538" s="9">
        <v>4.7850000000000001</v>
      </c>
      <c r="O538" s="9">
        <v>0.36199999999999999</v>
      </c>
      <c r="P538" s="9">
        <v>1.1791</v>
      </c>
      <c r="Q538" s="9">
        <v>19.053000000000001</v>
      </c>
      <c r="R538" s="9"/>
      <c r="S538" s="11"/>
    </row>
    <row r="539" spans="1:19" ht="15.75">
      <c r="A539" s="13">
        <v>57922</v>
      </c>
      <c r="B539" s="8">
        <f>CHOOSE( CONTROL!$C$32, 15.4499, 15.4476) * CHOOSE(CONTROL!$C$15, $D$11, 100%, $F$11)</f>
        <v>15.4499</v>
      </c>
      <c r="C539" s="8">
        <f>CHOOSE( CONTROL!$C$32, 15.4605, 15.4582) * CHOOSE(CONTROL!$C$15, $D$11, 100%, $F$11)</f>
        <v>15.4605</v>
      </c>
      <c r="D539" s="8">
        <f>CHOOSE( CONTROL!$C$32, 15.4947, 15.4924) * CHOOSE( CONTROL!$C$15, $D$11, 100%, $F$11)</f>
        <v>15.4947</v>
      </c>
      <c r="E539" s="12">
        <f>CHOOSE( CONTROL!$C$32, 15.4807, 15.4784) * CHOOSE( CONTROL!$C$15, $D$11, 100%, $F$11)</f>
        <v>15.480700000000001</v>
      </c>
      <c r="F539" s="4">
        <f>CHOOSE( CONTROL!$C$32, 16.1788, 16.1765) * CHOOSE(CONTROL!$C$15, $D$11, 100%, $F$11)</f>
        <v>16.178799999999999</v>
      </c>
      <c r="G539" s="8">
        <f>CHOOSE( CONTROL!$C$32, 15.1011, 15.0989) * CHOOSE( CONTROL!$C$15, $D$11, 100%, $F$11)</f>
        <v>15.101100000000001</v>
      </c>
      <c r="H539" s="4">
        <f>CHOOSE( CONTROL!$C$32, 16.0522, 16.0499) * CHOOSE(CONTROL!$C$15, $D$11, 100%, $F$11)</f>
        <v>16.052199999999999</v>
      </c>
      <c r="I539" s="8">
        <f>CHOOSE( CONTROL!$C$32, 14.941, 14.9387) * CHOOSE(CONTROL!$C$15, $D$11, 100%, $F$11)</f>
        <v>14.941000000000001</v>
      </c>
      <c r="J539" s="4">
        <f>CHOOSE( CONTROL!$C$32, 14.8191, 14.8169) * CHOOSE(CONTROL!$C$15, $D$11, 100%, $F$11)</f>
        <v>14.819100000000001</v>
      </c>
      <c r="K539" s="4"/>
      <c r="L539" s="9">
        <v>30.7165</v>
      </c>
      <c r="M539" s="9">
        <v>12.063700000000001</v>
      </c>
      <c r="N539" s="9">
        <v>4.9444999999999997</v>
      </c>
      <c r="O539" s="9">
        <v>0.37409999999999999</v>
      </c>
      <c r="P539" s="9">
        <v>1.2183999999999999</v>
      </c>
      <c r="Q539" s="9">
        <v>19.688099999999999</v>
      </c>
      <c r="R539" s="9"/>
      <c r="S539" s="11"/>
    </row>
    <row r="540" spans="1:19" ht="15.75">
      <c r="A540" s="13">
        <v>57953</v>
      </c>
      <c r="B540" s="8">
        <f>CHOOSE( CONTROL!$C$32, 14.2586, 14.2563) * CHOOSE(CONTROL!$C$15, $D$11, 100%, $F$11)</f>
        <v>14.258599999999999</v>
      </c>
      <c r="C540" s="8">
        <f>CHOOSE( CONTROL!$C$32, 14.2692, 14.2669) * CHOOSE(CONTROL!$C$15, $D$11, 100%, $F$11)</f>
        <v>14.2692</v>
      </c>
      <c r="D540" s="8">
        <f>CHOOSE( CONTROL!$C$32, 14.3034, 14.3011) * CHOOSE( CONTROL!$C$15, $D$11, 100%, $F$11)</f>
        <v>14.3034</v>
      </c>
      <c r="E540" s="12">
        <f>CHOOSE( CONTROL!$C$32, 14.2894, 14.2871) * CHOOSE( CONTROL!$C$15, $D$11, 100%, $F$11)</f>
        <v>14.289400000000001</v>
      </c>
      <c r="F540" s="4">
        <f>CHOOSE( CONTROL!$C$32, 14.9876, 14.9853) * CHOOSE(CONTROL!$C$15, $D$11, 100%, $F$11)</f>
        <v>14.9876</v>
      </c>
      <c r="G540" s="8">
        <f>CHOOSE( CONTROL!$C$32, 13.9365, 13.9343) * CHOOSE( CONTROL!$C$15, $D$11, 100%, $F$11)</f>
        <v>13.936500000000001</v>
      </c>
      <c r="H540" s="4">
        <f>CHOOSE( CONTROL!$C$32, 14.8875, 14.8852) * CHOOSE(CONTROL!$C$15, $D$11, 100%, $F$11)</f>
        <v>14.887499999999999</v>
      </c>
      <c r="I540" s="8">
        <f>CHOOSE( CONTROL!$C$32, 13.7969, 13.7947) * CHOOSE(CONTROL!$C$15, $D$11, 100%, $F$11)</f>
        <v>13.796900000000001</v>
      </c>
      <c r="J540" s="4">
        <f>CHOOSE( CONTROL!$C$32, 13.6754, 13.6732) * CHOOSE(CONTROL!$C$15, $D$11, 100%, $F$11)</f>
        <v>13.6754</v>
      </c>
      <c r="K540" s="4"/>
      <c r="L540" s="9">
        <v>30.7165</v>
      </c>
      <c r="M540" s="9">
        <v>12.063700000000001</v>
      </c>
      <c r="N540" s="9">
        <v>4.9444999999999997</v>
      </c>
      <c r="O540" s="9">
        <v>0.37409999999999999</v>
      </c>
      <c r="P540" s="9">
        <v>1.2183999999999999</v>
      </c>
      <c r="Q540" s="9">
        <v>19.688099999999999</v>
      </c>
      <c r="R540" s="9"/>
      <c r="S540" s="11"/>
    </row>
    <row r="541" spans="1:19" ht="15.75">
      <c r="A541" s="13">
        <v>57983</v>
      </c>
      <c r="B541" s="8">
        <f>CHOOSE( CONTROL!$C$32, 13.9603, 13.958) * CHOOSE(CONTROL!$C$15, $D$11, 100%, $F$11)</f>
        <v>13.9603</v>
      </c>
      <c r="C541" s="8">
        <f>CHOOSE( CONTROL!$C$32, 13.9709, 13.9686) * CHOOSE(CONTROL!$C$15, $D$11, 100%, $F$11)</f>
        <v>13.9709</v>
      </c>
      <c r="D541" s="8">
        <f>CHOOSE( CONTROL!$C$32, 14.0051, 14.0028) * CHOOSE( CONTROL!$C$15, $D$11, 100%, $F$11)</f>
        <v>14.005100000000001</v>
      </c>
      <c r="E541" s="12">
        <f>CHOOSE( CONTROL!$C$32, 13.9911, 13.9888) * CHOOSE( CONTROL!$C$15, $D$11, 100%, $F$11)</f>
        <v>13.991099999999999</v>
      </c>
      <c r="F541" s="4">
        <f>CHOOSE( CONTROL!$C$32, 14.6892, 14.6869) * CHOOSE(CONTROL!$C$15, $D$11, 100%, $F$11)</f>
        <v>14.6892</v>
      </c>
      <c r="G541" s="8">
        <f>CHOOSE( CONTROL!$C$32, 13.6448, 13.6426) * CHOOSE( CONTROL!$C$15, $D$11, 100%, $F$11)</f>
        <v>13.6448</v>
      </c>
      <c r="H541" s="4">
        <f>CHOOSE( CONTROL!$C$32, 14.5958, 14.5935) * CHOOSE(CONTROL!$C$15, $D$11, 100%, $F$11)</f>
        <v>14.595800000000001</v>
      </c>
      <c r="I541" s="8">
        <f>CHOOSE( CONTROL!$C$32, 13.5102, 13.508) * CHOOSE(CONTROL!$C$15, $D$11, 100%, $F$11)</f>
        <v>13.510199999999999</v>
      </c>
      <c r="J541" s="4">
        <f>CHOOSE( CONTROL!$C$32, 13.389, 13.3867) * CHOOSE(CONTROL!$C$15, $D$11, 100%, $F$11)</f>
        <v>13.388999999999999</v>
      </c>
      <c r="K541" s="4"/>
      <c r="L541" s="9">
        <v>29.7257</v>
      </c>
      <c r="M541" s="9">
        <v>11.6745</v>
      </c>
      <c r="N541" s="9">
        <v>4.7850000000000001</v>
      </c>
      <c r="O541" s="9">
        <v>0.36199999999999999</v>
      </c>
      <c r="P541" s="9">
        <v>1.1791</v>
      </c>
      <c r="Q541" s="9">
        <v>19.053000000000001</v>
      </c>
      <c r="R541" s="9"/>
      <c r="S541" s="11"/>
    </row>
    <row r="542" spans="1:19" ht="15.75">
      <c r="A542" s="13">
        <v>58014</v>
      </c>
      <c r="B542" s="8">
        <f>14.5775 * CHOOSE(CONTROL!$C$15, $D$11, 100%, $F$11)</f>
        <v>14.577500000000001</v>
      </c>
      <c r="C542" s="8">
        <f>14.5883 * CHOOSE(CONTROL!$C$15, $D$11, 100%, $F$11)</f>
        <v>14.5883</v>
      </c>
      <c r="D542" s="8">
        <f>14.6237 * CHOOSE( CONTROL!$C$15, $D$11, 100%, $F$11)</f>
        <v>14.623699999999999</v>
      </c>
      <c r="E542" s="12">
        <f>14.6109 * CHOOSE( CONTROL!$C$15, $D$11, 100%, $F$11)</f>
        <v>14.610900000000001</v>
      </c>
      <c r="F542" s="4">
        <f>15.3063 * CHOOSE(CONTROL!$C$15, $D$11, 100%, $F$11)</f>
        <v>15.3063</v>
      </c>
      <c r="G542" s="8">
        <f>14.248 * CHOOSE( CONTROL!$C$15, $D$11, 100%, $F$11)</f>
        <v>14.247999999999999</v>
      </c>
      <c r="H542" s="4">
        <f>15.1991 * CHOOSE(CONTROL!$C$15, $D$11, 100%, $F$11)</f>
        <v>15.1991</v>
      </c>
      <c r="I542" s="8">
        <f>14.1039 * CHOOSE(CONTROL!$C$15, $D$11, 100%, $F$11)</f>
        <v>14.103899999999999</v>
      </c>
      <c r="J542" s="4">
        <f>13.9814 * CHOOSE(CONTROL!$C$15, $D$11, 100%, $F$11)</f>
        <v>13.981400000000001</v>
      </c>
      <c r="K542" s="4"/>
      <c r="L542" s="9">
        <v>31.095300000000002</v>
      </c>
      <c r="M542" s="9">
        <v>12.063700000000001</v>
      </c>
      <c r="N542" s="9">
        <v>4.9444999999999997</v>
      </c>
      <c r="O542" s="9">
        <v>0.37409999999999999</v>
      </c>
      <c r="P542" s="9">
        <v>1.2183999999999999</v>
      </c>
      <c r="Q542" s="9">
        <v>19.688099999999999</v>
      </c>
      <c r="R542" s="9"/>
      <c r="S542" s="11"/>
    </row>
    <row r="543" spans="1:19" ht="15.75">
      <c r="A543" s="13">
        <v>58044</v>
      </c>
      <c r="B543" s="8">
        <f>15.7208 * CHOOSE(CONTROL!$C$15, $D$11, 100%, $F$11)</f>
        <v>15.720800000000001</v>
      </c>
      <c r="C543" s="8">
        <f>15.7316 * CHOOSE(CONTROL!$C$15, $D$11, 100%, $F$11)</f>
        <v>15.7316</v>
      </c>
      <c r="D543" s="8">
        <f>15.7076 * CHOOSE( CONTROL!$C$15, $D$11, 100%, $F$11)</f>
        <v>15.707599999999999</v>
      </c>
      <c r="E543" s="12">
        <f>15.7152 * CHOOSE( CONTROL!$C$15, $D$11, 100%, $F$11)</f>
        <v>15.715199999999999</v>
      </c>
      <c r="F543" s="4">
        <f>16.3819 * CHOOSE(CONTROL!$C$15, $D$11, 100%, $F$11)</f>
        <v>16.381900000000002</v>
      </c>
      <c r="G543" s="8">
        <f>15.3657 * CHOOSE( CONTROL!$C$15, $D$11, 100%, $F$11)</f>
        <v>15.3657</v>
      </c>
      <c r="H543" s="4">
        <f>16.2507 * CHOOSE(CONTROL!$C$15, $D$11, 100%, $F$11)</f>
        <v>16.250699999999998</v>
      </c>
      <c r="I543" s="8">
        <f>15.2454 * CHOOSE(CONTROL!$C$15, $D$11, 100%, $F$11)</f>
        <v>15.2454</v>
      </c>
      <c r="J543" s="4">
        <f>15.0791 * CHOOSE(CONTROL!$C$15, $D$11, 100%, $F$11)</f>
        <v>15.0791</v>
      </c>
      <c r="K543" s="4"/>
      <c r="L543" s="9">
        <v>28.360600000000002</v>
      </c>
      <c r="M543" s="9">
        <v>11.6745</v>
      </c>
      <c r="N543" s="9">
        <v>4.7850000000000001</v>
      </c>
      <c r="O543" s="9">
        <v>0.36199999999999999</v>
      </c>
      <c r="P543" s="9">
        <v>1.2509999999999999</v>
      </c>
      <c r="Q543" s="9">
        <v>19.053000000000001</v>
      </c>
      <c r="R543" s="9"/>
      <c r="S543" s="11"/>
    </row>
    <row r="544" spans="1:19" ht="15.75">
      <c r="A544" s="13">
        <v>58075</v>
      </c>
      <c r="B544" s="8">
        <f>15.6923 * CHOOSE(CONTROL!$C$15, $D$11, 100%, $F$11)</f>
        <v>15.692299999999999</v>
      </c>
      <c r="C544" s="8">
        <f>15.703 * CHOOSE(CONTROL!$C$15, $D$11, 100%, $F$11)</f>
        <v>15.702999999999999</v>
      </c>
      <c r="D544" s="8">
        <f>15.6808 * CHOOSE( CONTROL!$C$15, $D$11, 100%, $F$11)</f>
        <v>15.6808</v>
      </c>
      <c r="E544" s="12">
        <f>15.6878 * CHOOSE( CONTROL!$C$15, $D$11, 100%, $F$11)</f>
        <v>15.687799999999999</v>
      </c>
      <c r="F544" s="4">
        <f>16.3534 * CHOOSE(CONTROL!$C$15, $D$11, 100%, $F$11)</f>
        <v>16.353400000000001</v>
      </c>
      <c r="G544" s="8">
        <f>15.339 * CHOOSE( CONTROL!$C$15, $D$11, 100%, $F$11)</f>
        <v>15.339</v>
      </c>
      <c r="H544" s="4">
        <f>16.2228 * CHOOSE(CONTROL!$C$15, $D$11, 100%, $F$11)</f>
        <v>16.222799999999999</v>
      </c>
      <c r="I544" s="8">
        <f>15.2232 * CHOOSE(CONTROL!$C$15, $D$11, 100%, $F$11)</f>
        <v>15.2232</v>
      </c>
      <c r="J544" s="4">
        <f>15.0517 * CHOOSE(CONTROL!$C$15, $D$11, 100%, $F$11)</f>
        <v>15.0517</v>
      </c>
      <c r="K544" s="4"/>
      <c r="L544" s="9">
        <v>29.306000000000001</v>
      </c>
      <c r="M544" s="9">
        <v>12.063700000000001</v>
      </c>
      <c r="N544" s="9">
        <v>4.9444999999999997</v>
      </c>
      <c r="O544" s="9">
        <v>0.37409999999999999</v>
      </c>
      <c r="P544" s="9">
        <v>1.2927</v>
      </c>
      <c r="Q544" s="9">
        <v>19.688099999999999</v>
      </c>
      <c r="R544" s="9"/>
      <c r="S544" s="11"/>
    </row>
    <row r="545" spans="1:19" ht="15.75">
      <c r="A545" s="13">
        <v>58106</v>
      </c>
      <c r="B545" s="8">
        <f>16.1547 * CHOOSE(CONTROL!$C$15, $D$11, 100%, $F$11)</f>
        <v>16.154699999999998</v>
      </c>
      <c r="C545" s="8">
        <f>16.1655 * CHOOSE(CONTROL!$C$15, $D$11, 100%, $F$11)</f>
        <v>16.165500000000002</v>
      </c>
      <c r="D545" s="8">
        <f>16.1471 * CHOOSE( CONTROL!$C$15, $D$11, 100%, $F$11)</f>
        <v>16.147099999999998</v>
      </c>
      <c r="E545" s="12">
        <f>16.1527 * CHOOSE( CONTROL!$C$15, $D$11, 100%, $F$11)</f>
        <v>16.152699999999999</v>
      </c>
      <c r="F545" s="4">
        <f>16.8158 * CHOOSE(CONTROL!$C$15, $D$11, 100%, $F$11)</f>
        <v>16.815799999999999</v>
      </c>
      <c r="G545" s="8">
        <f>15.7868 * CHOOSE( CONTROL!$C$15, $D$11, 100%, $F$11)</f>
        <v>15.786799999999999</v>
      </c>
      <c r="H545" s="4">
        <f>16.6749 * CHOOSE(CONTROL!$C$15, $D$11, 100%, $F$11)</f>
        <v>16.674900000000001</v>
      </c>
      <c r="I545" s="8">
        <f>15.6228 * CHOOSE(CONTROL!$C$15, $D$11, 100%, $F$11)</f>
        <v>15.6228</v>
      </c>
      <c r="J545" s="4">
        <f>15.4957 * CHOOSE(CONTROL!$C$15, $D$11, 100%, $F$11)</f>
        <v>15.495699999999999</v>
      </c>
      <c r="K545" s="4"/>
      <c r="L545" s="9">
        <v>29.306000000000001</v>
      </c>
      <c r="M545" s="9">
        <v>12.063700000000001</v>
      </c>
      <c r="N545" s="9">
        <v>4.9444999999999997</v>
      </c>
      <c r="O545" s="9">
        <v>0.37409999999999999</v>
      </c>
      <c r="P545" s="9">
        <v>1.2927</v>
      </c>
      <c r="Q545" s="9">
        <v>19.688099999999999</v>
      </c>
      <c r="R545" s="9"/>
      <c r="S545" s="11"/>
    </row>
    <row r="546" spans="1:19" ht="15.75">
      <c r="A546" s="13">
        <v>58134</v>
      </c>
      <c r="B546" s="8">
        <f>15.1113 * CHOOSE(CONTROL!$C$15, $D$11, 100%, $F$11)</f>
        <v>15.1113</v>
      </c>
      <c r="C546" s="8">
        <f>15.1221 * CHOOSE(CONTROL!$C$15, $D$11, 100%, $F$11)</f>
        <v>15.1221</v>
      </c>
      <c r="D546" s="8">
        <f>15.1035 * CHOOSE( CONTROL!$C$15, $D$11, 100%, $F$11)</f>
        <v>15.1035</v>
      </c>
      <c r="E546" s="12">
        <f>15.1092 * CHOOSE( CONTROL!$C$15, $D$11, 100%, $F$11)</f>
        <v>15.1092</v>
      </c>
      <c r="F546" s="4">
        <f>15.7724 * CHOOSE(CONTROL!$C$15, $D$11, 100%, $F$11)</f>
        <v>15.772399999999999</v>
      </c>
      <c r="G546" s="8">
        <f>14.7665 * CHOOSE( CONTROL!$C$15, $D$11, 100%, $F$11)</f>
        <v>14.766500000000001</v>
      </c>
      <c r="H546" s="4">
        <f>15.6548 * CHOOSE(CONTROL!$C$15, $D$11, 100%, $F$11)</f>
        <v>15.6548</v>
      </c>
      <c r="I546" s="8">
        <f>14.62 * CHOOSE(CONTROL!$C$15, $D$11, 100%, $F$11)</f>
        <v>14.62</v>
      </c>
      <c r="J546" s="4">
        <f>14.4939 * CHOOSE(CONTROL!$C$15, $D$11, 100%, $F$11)</f>
        <v>14.4939</v>
      </c>
      <c r="K546" s="4"/>
      <c r="L546" s="9">
        <v>26.469899999999999</v>
      </c>
      <c r="M546" s="9">
        <v>10.8962</v>
      </c>
      <c r="N546" s="9">
        <v>4.4660000000000002</v>
      </c>
      <c r="O546" s="9">
        <v>0.33789999999999998</v>
      </c>
      <c r="P546" s="9">
        <v>1.1676</v>
      </c>
      <c r="Q546" s="9">
        <v>17.782800000000002</v>
      </c>
      <c r="R546" s="9"/>
      <c r="S546" s="11"/>
    </row>
    <row r="547" spans="1:19" ht="15.75">
      <c r="A547" s="13">
        <v>58165</v>
      </c>
      <c r="B547" s="8">
        <f>14.7899 * CHOOSE(CONTROL!$C$15, $D$11, 100%, $F$11)</f>
        <v>14.789899999999999</v>
      </c>
      <c r="C547" s="8">
        <f>14.8007 * CHOOSE(CONTROL!$C$15, $D$11, 100%, $F$11)</f>
        <v>14.800700000000001</v>
      </c>
      <c r="D547" s="8">
        <f>14.7816 * CHOOSE( CONTROL!$C$15, $D$11, 100%, $F$11)</f>
        <v>14.781599999999999</v>
      </c>
      <c r="E547" s="12">
        <f>14.7874 * CHOOSE( CONTROL!$C$15, $D$11, 100%, $F$11)</f>
        <v>14.7874</v>
      </c>
      <c r="F547" s="4">
        <f>15.451 * CHOOSE(CONTROL!$C$15, $D$11, 100%, $F$11)</f>
        <v>15.451000000000001</v>
      </c>
      <c r="G547" s="8">
        <f>14.4519 * CHOOSE( CONTROL!$C$15, $D$11, 100%, $F$11)</f>
        <v>14.4519</v>
      </c>
      <c r="H547" s="4">
        <f>15.3406 * CHOOSE(CONTROL!$C$15, $D$11, 100%, $F$11)</f>
        <v>15.3406</v>
      </c>
      <c r="I547" s="8">
        <f>14.3098 * CHOOSE(CONTROL!$C$15, $D$11, 100%, $F$11)</f>
        <v>14.309799999999999</v>
      </c>
      <c r="J547" s="4">
        <f>14.1853 * CHOOSE(CONTROL!$C$15, $D$11, 100%, $F$11)</f>
        <v>14.1853</v>
      </c>
      <c r="K547" s="4"/>
      <c r="L547" s="9">
        <v>29.306000000000001</v>
      </c>
      <c r="M547" s="9">
        <v>12.063700000000001</v>
      </c>
      <c r="N547" s="9">
        <v>4.9444999999999997</v>
      </c>
      <c r="O547" s="9">
        <v>0.37409999999999999</v>
      </c>
      <c r="P547" s="9">
        <v>1.2927</v>
      </c>
      <c r="Q547" s="9">
        <v>19.688099999999999</v>
      </c>
      <c r="R547" s="9"/>
      <c r="S547" s="11"/>
    </row>
    <row r="548" spans="1:19" ht="15.75">
      <c r="A548" s="13">
        <v>58195</v>
      </c>
      <c r="B548" s="8">
        <f>15.0144 * CHOOSE(CONTROL!$C$15, $D$11, 100%, $F$11)</f>
        <v>15.0144</v>
      </c>
      <c r="C548" s="8">
        <f>15.0252 * CHOOSE(CONTROL!$C$15, $D$11, 100%, $F$11)</f>
        <v>15.0252</v>
      </c>
      <c r="D548" s="8">
        <f>15.06 * CHOOSE( CONTROL!$C$15, $D$11, 100%, $F$11)</f>
        <v>15.06</v>
      </c>
      <c r="E548" s="12">
        <f>15.0473 * CHOOSE( CONTROL!$C$15, $D$11, 100%, $F$11)</f>
        <v>15.0473</v>
      </c>
      <c r="F548" s="4">
        <f>15.7433 * CHOOSE(CONTROL!$C$15, $D$11, 100%, $F$11)</f>
        <v>15.7433</v>
      </c>
      <c r="G548" s="8">
        <f>14.6743 * CHOOSE( CONTROL!$C$15, $D$11, 100%, $F$11)</f>
        <v>14.674300000000001</v>
      </c>
      <c r="H548" s="4">
        <f>15.6263 * CHOOSE(CONTROL!$C$15, $D$11, 100%, $F$11)</f>
        <v>15.626300000000001</v>
      </c>
      <c r="I548" s="8">
        <f>14.5208 * CHOOSE(CONTROL!$C$15, $D$11, 100%, $F$11)</f>
        <v>14.520799999999999</v>
      </c>
      <c r="J548" s="4">
        <f>14.4009 * CHOOSE(CONTROL!$C$15, $D$11, 100%, $F$11)</f>
        <v>14.4009</v>
      </c>
      <c r="K548" s="4"/>
      <c r="L548" s="9">
        <v>30.092199999999998</v>
      </c>
      <c r="M548" s="9">
        <v>11.6745</v>
      </c>
      <c r="N548" s="9">
        <v>4.7850000000000001</v>
      </c>
      <c r="O548" s="9">
        <v>0.36199999999999999</v>
      </c>
      <c r="P548" s="9">
        <v>1.1791</v>
      </c>
      <c r="Q548" s="9">
        <v>19.053000000000001</v>
      </c>
      <c r="R548" s="9"/>
      <c r="S548" s="11"/>
    </row>
    <row r="549" spans="1:19" ht="15.75">
      <c r="A549" s="13">
        <v>58226</v>
      </c>
      <c r="B549" s="8">
        <f>CHOOSE( CONTROL!$C$32, 15.4163, 15.414) * CHOOSE(CONTROL!$C$15, $D$11, 100%, $F$11)</f>
        <v>15.4163</v>
      </c>
      <c r="C549" s="8">
        <f>CHOOSE( CONTROL!$C$32, 15.4269, 15.4246) * CHOOSE(CONTROL!$C$15, $D$11, 100%, $F$11)</f>
        <v>15.4269</v>
      </c>
      <c r="D549" s="8">
        <f>CHOOSE( CONTROL!$C$32, 15.4607, 15.4584) * CHOOSE( CONTROL!$C$15, $D$11, 100%, $F$11)</f>
        <v>15.460699999999999</v>
      </c>
      <c r="E549" s="12">
        <f>CHOOSE( CONTROL!$C$32, 15.4468, 15.4445) * CHOOSE( CONTROL!$C$15, $D$11, 100%, $F$11)</f>
        <v>15.4468</v>
      </c>
      <c r="F549" s="4">
        <f>CHOOSE( CONTROL!$C$32, 16.1453, 16.143) * CHOOSE(CONTROL!$C$15, $D$11, 100%, $F$11)</f>
        <v>16.145299999999999</v>
      </c>
      <c r="G549" s="8">
        <f>CHOOSE( CONTROL!$C$32, 15.0678, 15.0655) * CHOOSE( CONTROL!$C$15, $D$11, 100%, $F$11)</f>
        <v>15.0678</v>
      </c>
      <c r="H549" s="4">
        <f>CHOOSE( CONTROL!$C$32, 16.0193, 16.0171) * CHOOSE(CONTROL!$C$15, $D$11, 100%, $F$11)</f>
        <v>16.019300000000001</v>
      </c>
      <c r="I549" s="8">
        <f>CHOOSE( CONTROL!$C$32, 14.907, 14.9048) * CHOOSE(CONTROL!$C$15, $D$11, 100%, $F$11)</f>
        <v>14.907</v>
      </c>
      <c r="J549" s="4">
        <f>CHOOSE( CONTROL!$C$32, 14.7869, 14.7847) * CHOOSE(CONTROL!$C$15, $D$11, 100%, $F$11)</f>
        <v>14.786899999999999</v>
      </c>
      <c r="K549" s="4"/>
      <c r="L549" s="9">
        <v>30.7165</v>
      </c>
      <c r="M549" s="9">
        <v>12.063700000000001</v>
      </c>
      <c r="N549" s="9">
        <v>4.9444999999999997</v>
      </c>
      <c r="O549" s="9">
        <v>0.37409999999999999</v>
      </c>
      <c r="P549" s="9">
        <v>1.2183999999999999</v>
      </c>
      <c r="Q549" s="9">
        <v>19.688099999999999</v>
      </c>
      <c r="R549" s="9"/>
      <c r="S549" s="11"/>
    </row>
    <row r="550" spans="1:19" ht="15.75">
      <c r="A550" s="13">
        <v>58256</v>
      </c>
      <c r="B550" s="8">
        <f>CHOOSE( CONTROL!$C$32, 15.1687, 15.1664) * CHOOSE(CONTROL!$C$15, $D$11, 100%, $F$11)</f>
        <v>15.168699999999999</v>
      </c>
      <c r="C550" s="8">
        <f>CHOOSE( CONTROL!$C$32, 15.1793, 15.177) * CHOOSE(CONTROL!$C$15, $D$11, 100%, $F$11)</f>
        <v>15.1793</v>
      </c>
      <c r="D550" s="8">
        <f>CHOOSE( CONTROL!$C$32, 15.2133, 15.211) * CHOOSE( CONTROL!$C$15, $D$11, 100%, $F$11)</f>
        <v>15.2133</v>
      </c>
      <c r="E550" s="12">
        <f>CHOOSE( CONTROL!$C$32, 15.1994, 15.1971) * CHOOSE( CONTROL!$C$15, $D$11, 100%, $F$11)</f>
        <v>15.199400000000001</v>
      </c>
      <c r="F550" s="4">
        <f>CHOOSE( CONTROL!$C$32, 15.8977, 15.8954) * CHOOSE(CONTROL!$C$15, $D$11, 100%, $F$11)</f>
        <v>15.8977</v>
      </c>
      <c r="G550" s="8">
        <f>CHOOSE( CONTROL!$C$32, 14.8259, 14.8237) * CHOOSE( CONTROL!$C$15, $D$11, 100%, $F$11)</f>
        <v>14.825900000000001</v>
      </c>
      <c r="H550" s="4">
        <f>CHOOSE( CONTROL!$C$32, 15.7773, 15.775) * CHOOSE(CONTROL!$C$15, $D$11, 100%, $F$11)</f>
        <v>15.7773</v>
      </c>
      <c r="I550" s="8">
        <f>CHOOSE( CONTROL!$C$32, 14.6699, 14.6677) * CHOOSE(CONTROL!$C$15, $D$11, 100%, $F$11)</f>
        <v>14.6699</v>
      </c>
      <c r="J550" s="4">
        <f>CHOOSE( CONTROL!$C$32, 14.5492, 14.547) * CHOOSE(CONTROL!$C$15, $D$11, 100%, $F$11)</f>
        <v>14.549200000000001</v>
      </c>
      <c r="K550" s="4"/>
      <c r="L550" s="9">
        <v>29.7257</v>
      </c>
      <c r="M550" s="9">
        <v>11.6745</v>
      </c>
      <c r="N550" s="9">
        <v>4.7850000000000001</v>
      </c>
      <c r="O550" s="9">
        <v>0.36199999999999999</v>
      </c>
      <c r="P550" s="9">
        <v>1.1791</v>
      </c>
      <c r="Q550" s="9">
        <v>19.053000000000001</v>
      </c>
      <c r="R550" s="9"/>
      <c r="S550" s="11"/>
    </row>
    <row r="551" spans="1:19" ht="15.75">
      <c r="A551" s="13">
        <v>58287</v>
      </c>
      <c r="B551" s="8">
        <f>CHOOSE( CONTROL!$C$32, 15.8207, 15.8184) * CHOOSE(CONTROL!$C$15, $D$11, 100%, $F$11)</f>
        <v>15.8207</v>
      </c>
      <c r="C551" s="8">
        <f>CHOOSE( CONTROL!$C$32, 15.8313, 15.829) * CHOOSE(CONTROL!$C$15, $D$11, 100%, $F$11)</f>
        <v>15.831300000000001</v>
      </c>
      <c r="D551" s="8">
        <f>CHOOSE( CONTROL!$C$32, 15.8655, 15.8632) * CHOOSE( CONTROL!$C$15, $D$11, 100%, $F$11)</f>
        <v>15.865500000000001</v>
      </c>
      <c r="E551" s="12">
        <f>CHOOSE( CONTROL!$C$32, 15.8515, 15.8492) * CHOOSE( CONTROL!$C$15, $D$11, 100%, $F$11)</f>
        <v>15.8515</v>
      </c>
      <c r="F551" s="4">
        <f>CHOOSE( CONTROL!$C$32, 16.5497, 16.5474) * CHOOSE(CONTROL!$C$15, $D$11, 100%, $F$11)</f>
        <v>16.549700000000001</v>
      </c>
      <c r="G551" s="8">
        <f>CHOOSE( CONTROL!$C$32, 15.4637, 15.4614) * CHOOSE( CONTROL!$C$15, $D$11, 100%, $F$11)</f>
        <v>15.463699999999999</v>
      </c>
      <c r="H551" s="4">
        <f>CHOOSE( CONTROL!$C$32, 16.4147, 16.4125) * CHOOSE(CONTROL!$C$15, $D$11, 100%, $F$11)</f>
        <v>16.4147</v>
      </c>
      <c r="I551" s="8">
        <f>CHOOSE( CONTROL!$C$32, 15.2971, 15.2949) * CHOOSE(CONTROL!$C$15, $D$11, 100%, $F$11)</f>
        <v>15.2971</v>
      </c>
      <c r="J551" s="4">
        <f>CHOOSE( CONTROL!$C$32, 15.1751, 15.1729) * CHOOSE(CONTROL!$C$15, $D$11, 100%, $F$11)</f>
        <v>15.1751</v>
      </c>
      <c r="K551" s="4"/>
      <c r="L551" s="9">
        <v>30.7165</v>
      </c>
      <c r="M551" s="9">
        <v>12.063700000000001</v>
      </c>
      <c r="N551" s="9">
        <v>4.9444999999999997</v>
      </c>
      <c r="O551" s="9">
        <v>0.37409999999999999</v>
      </c>
      <c r="P551" s="9">
        <v>1.2183999999999999</v>
      </c>
      <c r="Q551" s="9">
        <v>19.688099999999999</v>
      </c>
      <c r="R551" s="9"/>
      <c r="S551" s="11"/>
    </row>
    <row r="552" spans="1:19" ht="15.75">
      <c r="A552" s="13">
        <v>58318</v>
      </c>
      <c r="B552" s="8">
        <f>CHOOSE( CONTROL!$C$32, 14.6008, 14.5985) * CHOOSE(CONTROL!$C$15, $D$11, 100%, $F$11)</f>
        <v>14.6008</v>
      </c>
      <c r="C552" s="8">
        <f>CHOOSE( CONTROL!$C$32, 14.6114, 14.6091) * CHOOSE(CONTROL!$C$15, $D$11, 100%, $F$11)</f>
        <v>14.6114</v>
      </c>
      <c r="D552" s="8">
        <f>CHOOSE( CONTROL!$C$32, 14.6456, 14.6433) * CHOOSE( CONTROL!$C$15, $D$11, 100%, $F$11)</f>
        <v>14.6456</v>
      </c>
      <c r="E552" s="12">
        <f>CHOOSE( CONTROL!$C$32, 14.6316, 14.6293) * CHOOSE( CONTROL!$C$15, $D$11, 100%, $F$11)</f>
        <v>14.631600000000001</v>
      </c>
      <c r="F552" s="4">
        <f>CHOOSE( CONTROL!$C$32, 15.3297, 15.3274) * CHOOSE(CONTROL!$C$15, $D$11, 100%, $F$11)</f>
        <v>15.329700000000001</v>
      </c>
      <c r="G552" s="8">
        <f>CHOOSE( CONTROL!$C$32, 14.2711, 14.2688) * CHOOSE( CONTROL!$C$15, $D$11, 100%, $F$11)</f>
        <v>14.271100000000001</v>
      </c>
      <c r="H552" s="4">
        <f>CHOOSE( CONTROL!$C$32, 15.222, 15.2198) * CHOOSE(CONTROL!$C$15, $D$11, 100%, $F$11)</f>
        <v>15.222</v>
      </c>
      <c r="I552" s="8">
        <f>CHOOSE( CONTROL!$C$32, 14.1256, 14.1234) * CHOOSE(CONTROL!$C$15, $D$11, 100%, $F$11)</f>
        <v>14.1256</v>
      </c>
      <c r="J552" s="4">
        <f>CHOOSE( CONTROL!$C$32, 14.0039, 14.0017) * CHOOSE(CONTROL!$C$15, $D$11, 100%, $F$11)</f>
        <v>14.0039</v>
      </c>
      <c r="K552" s="4"/>
      <c r="L552" s="9">
        <v>30.7165</v>
      </c>
      <c r="M552" s="9">
        <v>12.063700000000001</v>
      </c>
      <c r="N552" s="9">
        <v>4.9444999999999997</v>
      </c>
      <c r="O552" s="9">
        <v>0.37409999999999999</v>
      </c>
      <c r="P552" s="9">
        <v>1.2183999999999999</v>
      </c>
      <c r="Q552" s="9">
        <v>19.688099999999999</v>
      </c>
      <c r="R552" s="9"/>
      <c r="S552" s="11"/>
    </row>
    <row r="553" spans="1:19" ht="15.75">
      <c r="A553" s="13">
        <v>58348</v>
      </c>
      <c r="B553" s="8">
        <f>CHOOSE( CONTROL!$C$32, 14.2953, 14.293) * CHOOSE(CONTROL!$C$15, $D$11, 100%, $F$11)</f>
        <v>14.295299999999999</v>
      </c>
      <c r="C553" s="8">
        <f>CHOOSE( CONTROL!$C$32, 14.3059, 14.3036) * CHOOSE(CONTROL!$C$15, $D$11, 100%, $F$11)</f>
        <v>14.305899999999999</v>
      </c>
      <c r="D553" s="8">
        <f>CHOOSE( CONTROL!$C$32, 14.3401, 14.3378) * CHOOSE( CONTROL!$C$15, $D$11, 100%, $F$11)</f>
        <v>14.3401</v>
      </c>
      <c r="E553" s="12">
        <f>CHOOSE( CONTROL!$C$32, 14.3261, 14.3238) * CHOOSE( CONTROL!$C$15, $D$11, 100%, $F$11)</f>
        <v>14.3261</v>
      </c>
      <c r="F553" s="4">
        <f>CHOOSE( CONTROL!$C$32, 15.0243, 15.022) * CHOOSE(CONTROL!$C$15, $D$11, 100%, $F$11)</f>
        <v>15.0243</v>
      </c>
      <c r="G553" s="8">
        <f>CHOOSE( CONTROL!$C$32, 13.9724, 13.9701) * CHOOSE( CONTROL!$C$15, $D$11, 100%, $F$11)</f>
        <v>13.9724</v>
      </c>
      <c r="H553" s="4">
        <f>CHOOSE( CONTROL!$C$32, 14.9233, 14.9211) * CHOOSE(CONTROL!$C$15, $D$11, 100%, $F$11)</f>
        <v>14.923299999999999</v>
      </c>
      <c r="I553" s="8">
        <f>CHOOSE( CONTROL!$C$32, 13.832, 13.8298) * CHOOSE(CONTROL!$C$15, $D$11, 100%, $F$11)</f>
        <v>13.832000000000001</v>
      </c>
      <c r="J553" s="4">
        <f>CHOOSE( CONTROL!$C$32, 13.7106, 13.7084) * CHOOSE(CONTROL!$C$15, $D$11, 100%, $F$11)</f>
        <v>13.710599999999999</v>
      </c>
      <c r="K553" s="4"/>
      <c r="L553" s="9">
        <v>29.7257</v>
      </c>
      <c r="M553" s="9">
        <v>11.6745</v>
      </c>
      <c r="N553" s="9">
        <v>4.7850000000000001</v>
      </c>
      <c r="O553" s="9">
        <v>0.36199999999999999</v>
      </c>
      <c r="P553" s="9">
        <v>1.1791</v>
      </c>
      <c r="Q553" s="9">
        <v>19.053000000000001</v>
      </c>
      <c r="R553" s="9"/>
      <c r="S553" s="11"/>
    </row>
    <row r="554" spans="1:19" ht="15.75">
      <c r="A554" s="13">
        <v>58379</v>
      </c>
      <c r="B554" s="8">
        <f>14.9274 * CHOOSE(CONTROL!$C$15, $D$11, 100%, $F$11)</f>
        <v>14.9274</v>
      </c>
      <c r="C554" s="8">
        <f>14.9382 * CHOOSE(CONTROL!$C$15, $D$11, 100%, $F$11)</f>
        <v>14.9382</v>
      </c>
      <c r="D554" s="8">
        <f>14.9736 * CHOOSE( CONTROL!$C$15, $D$11, 100%, $F$11)</f>
        <v>14.973599999999999</v>
      </c>
      <c r="E554" s="12">
        <f>14.9608 * CHOOSE( CONTROL!$C$15, $D$11, 100%, $F$11)</f>
        <v>14.960800000000001</v>
      </c>
      <c r="F554" s="4">
        <f>15.6562 * CHOOSE(CONTROL!$C$15, $D$11, 100%, $F$11)</f>
        <v>15.6562</v>
      </c>
      <c r="G554" s="8">
        <f>14.5901 * CHOOSE( CONTROL!$C$15, $D$11, 100%, $F$11)</f>
        <v>14.5901</v>
      </c>
      <c r="H554" s="4">
        <f>15.5412 * CHOOSE(CONTROL!$C$15, $D$11, 100%, $F$11)</f>
        <v>15.5412</v>
      </c>
      <c r="I554" s="8">
        <f>14.44 * CHOOSE(CONTROL!$C$15, $D$11, 100%, $F$11)</f>
        <v>14.44</v>
      </c>
      <c r="J554" s="4">
        <f>14.3174 * CHOOSE(CONTROL!$C$15, $D$11, 100%, $F$11)</f>
        <v>14.317399999999999</v>
      </c>
      <c r="K554" s="4"/>
      <c r="L554" s="9">
        <v>31.095300000000002</v>
      </c>
      <c r="M554" s="9">
        <v>12.063700000000001</v>
      </c>
      <c r="N554" s="9">
        <v>4.9444999999999997</v>
      </c>
      <c r="O554" s="9">
        <v>0.37409999999999999</v>
      </c>
      <c r="P554" s="9">
        <v>1.2183999999999999</v>
      </c>
      <c r="Q554" s="9">
        <v>19.688099999999999</v>
      </c>
      <c r="R554" s="9"/>
      <c r="S554" s="11"/>
    </row>
    <row r="555" spans="1:19" ht="15.75">
      <c r="A555" s="13">
        <v>58409</v>
      </c>
      <c r="B555" s="8">
        <f>16.0982 * CHOOSE(CONTROL!$C$15, $D$11, 100%, $F$11)</f>
        <v>16.098199999999999</v>
      </c>
      <c r="C555" s="8">
        <f>16.109 * CHOOSE(CONTROL!$C$15, $D$11, 100%, $F$11)</f>
        <v>16.109000000000002</v>
      </c>
      <c r="D555" s="8">
        <f>16.085 * CHOOSE( CONTROL!$C$15, $D$11, 100%, $F$11)</f>
        <v>16.085000000000001</v>
      </c>
      <c r="E555" s="12">
        <f>16.0926 * CHOOSE( CONTROL!$C$15, $D$11, 100%, $F$11)</f>
        <v>16.092600000000001</v>
      </c>
      <c r="F555" s="4">
        <f>16.7593 * CHOOSE(CONTROL!$C$15, $D$11, 100%, $F$11)</f>
        <v>16.7593</v>
      </c>
      <c r="G555" s="8">
        <f>15.7347 * CHOOSE( CONTROL!$C$15, $D$11, 100%, $F$11)</f>
        <v>15.7347</v>
      </c>
      <c r="H555" s="4">
        <f>16.6197 * CHOOSE(CONTROL!$C$15, $D$11, 100%, $F$11)</f>
        <v>16.619700000000002</v>
      </c>
      <c r="I555" s="8">
        <f>15.6079 * CHOOSE(CONTROL!$C$15, $D$11, 100%, $F$11)</f>
        <v>15.607900000000001</v>
      </c>
      <c r="J555" s="4">
        <f>15.4414 * CHOOSE(CONTROL!$C$15, $D$11, 100%, $F$11)</f>
        <v>15.4414</v>
      </c>
      <c r="K555" s="4"/>
      <c r="L555" s="9">
        <v>28.360600000000002</v>
      </c>
      <c r="M555" s="9">
        <v>11.6745</v>
      </c>
      <c r="N555" s="9">
        <v>4.7850000000000001</v>
      </c>
      <c r="O555" s="9">
        <v>0.36199999999999999</v>
      </c>
      <c r="P555" s="9">
        <v>1.2509999999999999</v>
      </c>
      <c r="Q555" s="9">
        <v>19.053000000000001</v>
      </c>
      <c r="R555" s="9"/>
      <c r="S555" s="11"/>
    </row>
    <row r="556" spans="1:19" ht="15.75">
      <c r="A556" s="13">
        <v>58440</v>
      </c>
      <c r="B556" s="8">
        <f>16.0689 * CHOOSE(CONTROL!$C$15, $D$11, 100%, $F$11)</f>
        <v>16.068899999999999</v>
      </c>
      <c r="C556" s="8">
        <f>16.0797 * CHOOSE(CONTROL!$C$15, $D$11, 100%, $F$11)</f>
        <v>16.079699999999999</v>
      </c>
      <c r="D556" s="8">
        <f>16.0574 * CHOOSE( CONTROL!$C$15, $D$11, 100%, $F$11)</f>
        <v>16.057400000000001</v>
      </c>
      <c r="E556" s="12">
        <f>16.0644 * CHOOSE( CONTROL!$C$15, $D$11, 100%, $F$11)</f>
        <v>16.064399999999999</v>
      </c>
      <c r="F556" s="4">
        <f>16.7301 * CHOOSE(CONTROL!$C$15, $D$11, 100%, $F$11)</f>
        <v>16.7301</v>
      </c>
      <c r="G556" s="8">
        <f>15.7073 * CHOOSE( CONTROL!$C$15, $D$11, 100%, $F$11)</f>
        <v>15.7073</v>
      </c>
      <c r="H556" s="4">
        <f>16.5911 * CHOOSE(CONTROL!$C$15, $D$11, 100%, $F$11)</f>
        <v>16.591100000000001</v>
      </c>
      <c r="I556" s="8">
        <f>15.585 * CHOOSE(CONTROL!$C$15, $D$11, 100%, $F$11)</f>
        <v>15.585000000000001</v>
      </c>
      <c r="J556" s="4">
        <f>15.4133 * CHOOSE(CONTROL!$C$15, $D$11, 100%, $F$11)</f>
        <v>15.4133</v>
      </c>
      <c r="K556" s="4"/>
      <c r="L556" s="9">
        <v>29.306000000000001</v>
      </c>
      <c r="M556" s="9">
        <v>12.063700000000001</v>
      </c>
      <c r="N556" s="9">
        <v>4.9444999999999997</v>
      </c>
      <c r="O556" s="9">
        <v>0.37409999999999999</v>
      </c>
      <c r="P556" s="9">
        <v>1.2927</v>
      </c>
      <c r="Q556" s="9">
        <v>19.688099999999999</v>
      </c>
      <c r="R556" s="9"/>
      <c r="S556" s="11"/>
    </row>
    <row r="557" spans="1:19" ht="15.75">
      <c r="A557" s="13">
        <v>58471</v>
      </c>
      <c r="B557" s="8">
        <f>16.5425 * CHOOSE(CONTROL!$C$15, $D$11, 100%, $F$11)</f>
        <v>16.5425</v>
      </c>
      <c r="C557" s="8">
        <f>16.5532 * CHOOSE(CONTROL!$C$15, $D$11, 100%, $F$11)</f>
        <v>16.5532</v>
      </c>
      <c r="D557" s="8">
        <f>16.5348 * CHOOSE( CONTROL!$C$15, $D$11, 100%, $F$11)</f>
        <v>16.534800000000001</v>
      </c>
      <c r="E557" s="12">
        <f>16.5404 * CHOOSE( CONTROL!$C$15, $D$11, 100%, $F$11)</f>
        <v>16.540400000000002</v>
      </c>
      <c r="F557" s="4">
        <f>17.2036 * CHOOSE(CONTROL!$C$15, $D$11, 100%, $F$11)</f>
        <v>17.203600000000002</v>
      </c>
      <c r="G557" s="8">
        <f>16.1659 * CHOOSE( CONTROL!$C$15, $D$11, 100%, $F$11)</f>
        <v>16.165900000000001</v>
      </c>
      <c r="H557" s="4">
        <f>17.0541 * CHOOSE(CONTROL!$C$15, $D$11, 100%, $F$11)</f>
        <v>17.054099999999998</v>
      </c>
      <c r="I557" s="8">
        <f>15.9953 * CHOOSE(CONTROL!$C$15, $D$11, 100%, $F$11)</f>
        <v>15.9953</v>
      </c>
      <c r="J557" s="4">
        <f>15.868 * CHOOSE(CONTROL!$C$15, $D$11, 100%, $F$11)</f>
        <v>15.868</v>
      </c>
      <c r="K557" s="4"/>
      <c r="L557" s="9">
        <v>29.306000000000001</v>
      </c>
      <c r="M557" s="9">
        <v>12.063700000000001</v>
      </c>
      <c r="N557" s="9">
        <v>4.9444999999999997</v>
      </c>
      <c r="O557" s="9">
        <v>0.37409999999999999</v>
      </c>
      <c r="P557" s="9">
        <v>1.2927</v>
      </c>
      <c r="Q557" s="9">
        <v>19.688099999999999</v>
      </c>
      <c r="R557" s="9"/>
      <c r="S557" s="11"/>
    </row>
    <row r="558" spans="1:19" ht="15.75">
      <c r="A558" s="13">
        <v>58499</v>
      </c>
      <c r="B558" s="8">
        <f>15.474 * CHOOSE(CONTROL!$C$15, $D$11, 100%, $F$11)</f>
        <v>15.474</v>
      </c>
      <c r="C558" s="8">
        <f>15.4848 * CHOOSE(CONTROL!$C$15, $D$11, 100%, $F$11)</f>
        <v>15.4848</v>
      </c>
      <c r="D558" s="8">
        <f>15.4662 * CHOOSE( CONTROL!$C$15, $D$11, 100%, $F$11)</f>
        <v>15.466200000000001</v>
      </c>
      <c r="E558" s="12">
        <f>15.4719 * CHOOSE( CONTROL!$C$15, $D$11, 100%, $F$11)</f>
        <v>15.4719</v>
      </c>
      <c r="F558" s="4">
        <f>16.1351 * CHOOSE(CONTROL!$C$15, $D$11, 100%, $F$11)</f>
        <v>16.135100000000001</v>
      </c>
      <c r="G558" s="8">
        <f>15.1211 * CHOOSE( CONTROL!$C$15, $D$11, 100%, $F$11)</f>
        <v>15.1211</v>
      </c>
      <c r="H558" s="4">
        <f>16.0094 * CHOOSE(CONTROL!$C$15, $D$11, 100%, $F$11)</f>
        <v>16.009399999999999</v>
      </c>
      <c r="I558" s="8">
        <f>14.9684 * CHOOSE(CONTROL!$C$15, $D$11, 100%, $F$11)</f>
        <v>14.968400000000001</v>
      </c>
      <c r="J558" s="4">
        <f>14.8421 * CHOOSE(CONTROL!$C$15, $D$11, 100%, $F$11)</f>
        <v>14.8421</v>
      </c>
      <c r="K558" s="4"/>
      <c r="L558" s="9">
        <v>27.415299999999998</v>
      </c>
      <c r="M558" s="9">
        <v>11.285299999999999</v>
      </c>
      <c r="N558" s="9">
        <v>4.6254999999999997</v>
      </c>
      <c r="O558" s="9">
        <v>0.34989999999999999</v>
      </c>
      <c r="P558" s="9">
        <v>1.2093</v>
      </c>
      <c r="Q558" s="9">
        <v>18.417899999999999</v>
      </c>
      <c r="R558" s="9"/>
      <c r="S558" s="11"/>
    </row>
    <row r="559" spans="1:19" ht="15.75">
      <c r="A559" s="13">
        <v>58531</v>
      </c>
      <c r="B559" s="8">
        <f>15.1449 * CHOOSE(CONTROL!$C$15, $D$11, 100%, $F$11)</f>
        <v>15.1449</v>
      </c>
      <c r="C559" s="8">
        <f>15.1557 * CHOOSE(CONTROL!$C$15, $D$11, 100%, $F$11)</f>
        <v>15.1557</v>
      </c>
      <c r="D559" s="8">
        <f>15.1366 * CHOOSE( CONTROL!$C$15, $D$11, 100%, $F$11)</f>
        <v>15.1366</v>
      </c>
      <c r="E559" s="12">
        <f>15.1424 * CHOOSE( CONTROL!$C$15, $D$11, 100%, $F$11)</f>
        <v>15.1424</v>
      </c>
      <c r="F559" s="4">
        <f>15.806 * CHOOSE(CONTROL!$C$15, $D$11, 100%, $F$11)</f>
        <v>15.805999999999999</v>
      </c>
      <c r="G559" s="8">
        <f>14.799 * CHOOSE( CONTROL!$C$15, $D$11, 100%, $F$11)</f>
        <v>14.798999999999999</v>
      </c>
      <c r="H559" s="4">
        <f>15.6877 * CHOOSE(CONTROL!$C$15, $D$11, 100%, $F$11)</f>
        <v>15.6877</v>
      </c>
      <c r="I559" s="8">
        <f>14.6508 * CHOOSE(CONTROL!$C$15, $D$11, 100%, $F$11)</f>
        <v>14.6508</v>
      </c>
      <c r="J559" s="4">
        <f>14.5262 * CHOOSE(CONTROL!$C$15, $D$11, 100%, $F$11)</f>
        <v>14.526199999999999</v>
      </c>
      <c r="K559" s="4"/>
      <c r="L559" s="9">
        <v>29.306000000000001</v>
      </c>
      <c r="M559" s="9">
        <v>12.063700000000001</v>
      </c>
      <c r="N559" s="9">
        <v>4.9444999999999997</v>
      </c>
      <c r="O559" s="9">
        <v>0.37409999999999999</v>
      </c>
      <c r="P559" s="9">
        <v>1.2927</v>
      </c>
      <c r="Q559" s="9">
        <v>19.688099999999999</v>
      </c>
      <c r="R559" s="9"/>
      <c r="S559" s="11"/>
    </row>
    <row r="560" spans="1:19" ht="15.75">
      <c r="A560" s="13">
        <v>58561</v>
      </c>
      <c r="B560" s="8">
        <f>15.3748 * CHOOSE(CONTROL!$C$15, $D$11, 100%, $F$11)</f>
        <v>15.3748</v>
      </c>
      <c r="C560" s="8">
        <f>15.3856 * CHOOSE(CONTROL!$C$15, $D$11, 100%, $F$11)</f>
        <v>15.3856</v>
      </c>
      <c r="D560" s="8">
        <f>15.4204 * CHOOSE( CONTROL!$C$15, $D$11, 100%, $F$11)</f>
        <v>15.420400000000001</v>
      </c>
      <c r="E560" s="12">
        <f>15.4077 * CHOOSE( CONTROL!$C$15, $D$11, 100%, $F$11)</f>
        <v>15.4077</v>
      </c>
      <c r="F560" s="4">
        <f>16.1037 * CHOOSE(CONTROL!$C$15, $D$11, 100%, $F$11)</f>
        <v>16.1037</v>
      </c>
      <c r="G560" s="8">
        <f>15.0266 * CHOOSE( CONTROL!$C$15, $D$11, 100%, $F$11)</f>
        <v>15.0266</v>
      </c>
      <c r="H560" s="4">
        <f>15.9787 * CHOOSE(CONTROL!$C$15, $D$11, 100%, $F$11)</f>
        <v>15.9787</v>
      </c>
      <c r="I560" s="8">
        <f>14.8669 * CHOOSE(CONTROL!$C$15, $D$11, 100%, $F$11)</f>
        <v>14.866899999999999</v>
      </c>
      <c r="J560" s="4">
        <f>14.747 * CHOOSE(CONTROL!$C$15, $D$11, 100%, $F$11)</f>
        <v>14.747</v>
      </c>
      <c r="K560" s="4"/>
      <c r="L560" s="9">
        <v>30.092199999999998</v>
      </c>
      <c r="M560" s="9">
        <v>11.6745</v>
      </c>
      <c r="N560" s="9">
        <v>4.7850000000000001</v>
      </c>
      <c r="O560" s="9">
        <v>0.36199999999999999</v>
      </c>
      <c r="P560" s="9">
        <v>1.1791</v>
      </c>
      <c r="Q560" s="9">
        <v>19.053000000000001</v>
      </c>
      <c r="R560" s="9"/>
      <c r="S560" s="11"/>
    </row>
    <row r="561" spans="1:19" ht="15.75">
      <c r="A561" s="13">
        <v>58592</v>
      </c>
      <c r="B561" s="8">
        <f>CHOOSE( CONTROL!$C$32, 15.7863, 15.784) * CHOOSE(CONTROL!$C$15, $D$11, 100%, $F$11)</f>
        <v>15.786300000000001</v>
      </c>
      <c r="C561" s="8">
        <f>CHOOSE( CONTROL!$C$32, 15.7969, 15.7946) * CHOOSE(CONTROL!$C$15, $D$11, 100%, $F$11)</f>
        <v>15.796900000000001</v>
      </c>
      <c r="D561" s="8">
        <f>CHOOSE( CONTROL!$C$32, 15.8307, 15.8284) * CHOOSE( CONTROL!$C$15, $D$11, 100%, $F$11)</f>
        <v>15.8307</v>
      </c>
      <c r="E561" s="12">
        <f>CHOOSE( CONTROL!$C$32, 15.8168, 15.8145) * CHOOSE( CONTROL!$C$15, $D$11, 100%, $F$11)</f>
        <v>15.816800000000001</v>
      </c>
      <c r="F561" s="4">
        <f>CHOOSE( CONTROL!$C$32, 16.5153, 16.513) * CHOOSE(CONTROL!$C$15, $D$11, 100%, $F$11)</f>
        <v>16.5153</v>
      </c>
      <c r="G561" s="8">
        <f>CHOOSE( CONTROL!$C$32, 15.4295, 15.4273) * CHOOSE( CONTROL!$C$15, $D$11, 100%, $F$11)</f>
        <v>15.429500000000001</v>
      </c>
      <c r="H561" s="4">
        <f>CHOOSE( CONTROL!$C$32, 16.3811, 16.3788) * CHOOSE(CONTROL!$C$15, $D$11, 100%, $F$11)</f>
        <v>16.3811</v>
      </c>
      <c r="I561" s="8">
        <f>CHOOSE( CONTROL!$C$32, 15.2624, 15.2602) * CHOOSE(CONTROL!$C$15, $D$11, 100%, $F$11)</f>
        <v>15.2624</v>
      </c>
      <c r="J561" s="4">
        <f>CHOOSE( CONTROL!$C$32, 15.1421, 15.1399) * CHOOSE(CONTROL!$C$15, $D$11, 100%, $F$11)</f>
        <v>15.142099999999999</v>
      </c>
      <c r="K561" s="4"/>
      <c r="L561" s="9">
        <v>30.7165</v>
      </c>
      <c r="M561" s="9">
        <v>12.063700000000001</v>
      </c>
      <c r="N561" s="9">
        <v>4.9444999999999997</v>
      </c>
      <c r="O561" s="9">
        <v>0.37409999999999999</v>
      </c>
      <c r="P561" s="9">
        <v>1.2183999999999999</v>
      </c>
      <c r="Q561" s="9">
        <v>19.688099999999999</v>
      </c>
      <c r="R561" s="9"/>
      <c r="S561" s="11"/>
    </row>
    <row r="562" spans="1:19" ht="15.75">
      <c r="A562" s="13">
        <v>58622</v>
      </c>
      <c r="B562" s="8">
        <f>CHOOSE( CONTROL!$C$32, 15.5328, 15.5305) * CHOOSE(CONTROL!$C$15, $D$11, 100%, $F$11)</f>
        <v>15.5328</v>
      </c>
      <c r="C562" s="8">
        <f>CHOOSE( CONTROL!$C$32, 15.5434, 15.5411) * CHOOSE(CONTROL!$C$15, $D$11, 100%, $F$11)</f>
        <v>15.5434</v>
      </c>
      <c r="D562" s="8">
        <f>CHOOSE( CONTROL!$C$32, 15.5774, 15.575) * CHOOSE( CONTROL!$C$15, $D$11, 100%, $F$11)</f>
        <v>15.577400000000001</v>
      </c>
      <c r="E562" s="12">
        <f>CHOOSE( CONTROL!$C$32, 15.5635, 15.5611) * CHOOSE( CONTROL!$C$15, $D$11, 100%, $F$11)</f>
        <v>15.563499999999999</v>
      </c>
      <c r="F562" s="4">
        <f>CHOOSE( CONTROL!$C$32, 16.2617, 16.2594) * CHOOSE(CONTROL!$C$15, $D$11, 100%, $F$11)</f>
        <v>16.261700000000001</v>
      </c>
      <c r="G562" s="8">
        <f>CHOOSE( CONTROL!$C$32, 15.1819, 15.1796) * CHOOSE( CONTROL!$C$15, $D$11, 100%, $F$11)</f>
        <v>15.181900000000001</v>
      </c>
      <c r="H562" s="4">
        <f>CHOOSE( CONTROL!$C$32, 16.1332, 16.131) * CHOOSE(CONTROL!$C$15, $D$11, 100%, $F$11)</f>
        <v>16.133199999999999</v>
      </c>
      <c r="I562" s="8">
        <f>CHOOSE( CONTROL!$C$32, 15.0196, 15.0174) * CHOOSE(CONTROL!$C$15, $D$11, 100%, $F$11)</f>
        <v>15.019600000000001</v>
      </c>
      <c r="J562" s="4">
        <f>CHOOSE( CONTROL!$C$32, 14.8987, 14.8965) * CHOOSE(CONTROL!$C$15, $D$11, 100%, $F$11)</f>
        <v>14.8987</v>
      </c>
      <c r="K562" s="4"/>
      <c r="L562" s="9">
        <v>29.7257</v>
      </c>
      <c r="M562" s="9">
        <v>11.6745</v>
      </c>
      <c r="N562" s="9">
        <v>4.7850000000000001</v>
      </c>
      <c r="O562" s="9">
        <v>0.36199999999999999</v>
      </c>
      <c r="P562" s="9">
        <v>1.1791</v>
      </c>
      <c r="Q562" s="9">
        <v>19.053000000000001</v>
      </c>
      <c r="R562" s="9"/>
      <c r="S562" s="11"/>
    </row>
    <row r="563" spans="1:19" ht="15.75">
      <c r="A563" s="13">
        <v>58653</v>
      </c>
      <c r="B563" s="8">
        <f>CHOOSE( CONTROL!$C$32, 16.2004, 16.1981) * CHOOSE(CONTROL!$C$15, $D$11, 100%, $F$11)</f>
        <v>16.200399999999998</v>
      </c>
      <c r="C563" s="8">
        <f>CHOOSE( CONTROL!$C$32, 16.211, 16.2087) * CHOOSE(CONTROL!$C$15, $D$11, 100%, $F$11)</f>
        <v>16.210999999999999</v>
      </c>
      <c r="D563" s="8">
        <f>CHOOSE( CONTROL!$C$32, 16.2452, 16.2429) * CHOOSE( CONTROL!$C$15, $D$11, 100%, $F$11)</f>
        <v>16.245200000000001</v>
      </c>
      <c r="E563" s="12">
        <f>CHOOSE( CONTROL!$C$32, 16.2312, 16.2289) * CHOOSE( CONTROL!$C$15, $D$11, 100%, $F$11)</f>
        <v>16.231200000000001</v>
      </c>
      <c r="F563" s="4">
        <f>CHOOSE( CONTROL!$C$32, 16.9294, 16.9271) * CHOOSE(CONTROL!$C$15, $D$11, 100%, $F$11)</f>
        <v>16.929400000000001</v>
      </c>
      <c r="G563" s="8">
        <f>CHOOSE( CONTROL!$C$32, 15.8349, 15.8327) * CHOOSE( CONTROL!$C$15, $D$11, 100%, $F$11)</f>
        <v>15.834899999999999</v>
      </c>
      <c r="H563" s="4">
        <f>CHOOSE( CONTROL!$C$32, 16.786, 16.7837) * CHOOSE(CONTROL!$C$15, $D$11, 100%, $F$11)</f>
        <v>16.786000000000001</v>
      </c>
      <c r="I563" s="8">
        <f>CHOOSE( CONTROL!$C$32, 15.6619, 15.6597) * CHOOSE(CONTROL!$C$15, $D$11, 100%, $F$11)</f>
        <v>15.661899999999999</v>
      </c>
      <c r="J563" s="4">
        <f>CHOOSE( CONTROL!$C$32, 15.5397, 15.5375) * CHOOSE(CONTROL!$C$15, $D$11, 100%, $F$11)</f>
        <v>15.5397</v>
      </c>
      <c r="K563" s="4"/>
      <c r="L563" s="9">
        <v>30.7165</v>
      </c>
      <c r="M563" s="9">
        <v>12.063700000000001</v>
      </c>
      <c r="N563" s="9">
        <v>4.9444999999999997</v>
      </c>
      <c r="O563" s="9">
        <v>0.37409999999999999</v>
      </c>
      <c r="P563" s="9">
        <v>1.2183999999999999</v>
      </c>
      <c r="Q563" s="9">
        <v>19.688099999999999</v>
      </c>
      <c r="R563" s="9"/>
      <c r="S563" s="11"/>
    </row>
    <row r="564" spans="1:19" ht="15.75">
      <c r="A564" s="13">
        <v>58684</v>
      </c>
      <c r="B564" s="8">
        <f>CHOOSE( CONTROL!$C$32, 14.9512, 14.9489) * CHOOSE(CONTROL!$C$15, $D$11, 100%, $F$11)</f>
        <v>14.9512</v>
      </c>
      <c r="C564" s="8">
        <f>CHOOSE( CONTROL!$C$32, 14.9618, 14.9595) * CHOOSE(CONTROL!$C$15, $D$11, 100%, $F$11)</f>
        <v>14.9618</v>
      </c>
      <c r="D564" s="8">
        <f>CHOOSE( CONTROL!$C$32, 14.996, 14.9937) * CHOOSE( CONTROL!$C$15, $D$11, 100%, $F$11)</f>
        <v>14.996</v>
      </c>
      <c r="E564" s="12">
        <f>CHOOSE( CONTROL!$C$32, 14.982, 14.9797) * CHOOSE( CONTROL!$C$15, $D$11, 100%, $F$11)</f>
        <v>14.981999999999999</v>
      </c>
      <c r="F564" s="4">
        <f>CHOOSE( CONTROL!$C$32, 15.6802, 15.6778) * CHOOSE(CONTROL!$C$15, $D$11, 100%, $F$11)</f>
        <v>15.680199999999999</v>
      </c>
      <c r="G564" s="8">
        <f>CHOOSE( CONTROL!$C$32, 14.6137, 14.6114) * CHOOSE( CONTROL!$C$15, $D$11, 100%, $F$11)</f>
        <v>14.6137</v>
      </c>
      <c r="H564" s="4">
        <f>CHOOSE( CONTROL!$C$32, 15.5646, 15.5623) * CHOOSE(CONTROL!$C$15, $D$11, 100%, $F$11)</f>
        <v>15.5646</v>
      </c>
      <c r="I564" s="8">
        <f>CHOOSE( CONTROL!$C$32, 14.4622, 14.46) * CHOOSE(CONTROL!$C$15, $D$11, 100%, $F$11)</f>
        <v>14.462199999999999</v>
      </c>
      <c r="J564" s="4">
        <f>CHOOSE( CONTROL!$C$32, 14.3403, 14.3381) * CHOOSE(CONTROL!$C$15, $D$11, 100%, $F$11)</f>
        <v>14.340299999999999</v>
      </c>
      <c r="K564" s="4"/>
      <c r="L564" s="9">
        <v>30.7165</v>
      </c>
      <c r="M564" s="9">
        <v>12.063700000000001</v>
      </c>
      <c r="N564" s="9">
        <v>4.9444999999999997</v>
      </c>
      <c r="O564" s="9">
        <v>0.37409999999999999</v>
      </c>
      <c r="P564" s="9">
        <v>1.2183999999999999</v>
      </c>
      <c r="Q564" s="9">
        <v>19.688099999999999</v>
      </c>
      <c r="R564" s="9"/>
      <c r="S564" s="11"/>
    </row>
    <row r="565" spans="1:19" ht="15.75">
      <c r="A565" s="13">
        <v>58714</v>
      </c>
      <c r="B565" s="8">
        <f>CHOOSE( CONTROL!$C$32, 14.6384, 14.6361) * CHOOSE(CONTROL!$C$15, $D$11, 100%, $F$11)</f>
        <v>14.638400000000001</v>
      </c>
      <c r="C565" s="8">
        <f>CHOOSE( CONTROL!$C$32, 14.649, 14.6467) * CHOOSE(CONTROL!$C$15, $D$11, 100%, $F$11)</f>
        <v>14.648999999999999</v>
      </c>
      <c r="D565" s="8">
        <f>CHOOSE( CONTROL!$C$32, 14.6832, 14.6809) * CHOOSE( CONTROL!$C$15, $D$11, 100%, $F$11)</f>
        <v>14.683199999999999</v>
      </c>
      <c r="E565" s="12">
        <f>CHOOSE( CONTROL!$C$32, 14.6692, 14.6669) * CHOOSE( CONTROL!$C$15, $D$11, 100%, $F$11)</f>
        <v>14.6692</v>
      </c>
      <c r="F565" s="4">
        <f>CHOOSE( CONTROL!$C$32, 15.3673, 15.365) * CHOOSE(CONTROL!$C$15, $D$11, 100%, $F$11)</f>
        <v>15.3673</v>
      </c>
      <c r="G565" s="8">
        <f>CHOOSE( CONTROL!$C$32, 14.3078, 14.3055) * CHOOSE( CONTROL!$C$15, $D$11, 100%, $F$11)</f>
        <v>14.3078</v>
      </c>
      <c r="H565" s="4">
        <f>CHOOSE( CONTROL!$C$32, 15.2588, 15.2565) * CHOOSE(CONTROL!$C$15, $D$11, 100%, $F$11)</f>
        <v>15.258800000000001</v>
      </c>
      <c r="I565" s="8">
        <f>CHOOSE( CONTROL!$C$32, 14.1616, 14.1594) * CHOOSE(CONTROL!$C$15, $D$11, 100%, $F$11)</f>
        <v>14.1616</v>
      </c>
      <c r="J565" s="4">
        <f>CHOOSE( CONTROL!$C$32, 14.04, 14.0378) * CHOOSE(CONTROL!$C$15, $D$11, 100%, $F$11)</f>
        <v>14.04</v>
      </c>
      <c r="K565" s="4"/>
      <c r="L565" s="9">
        <v>29.7257</v>
      </c>
      <c r="M565" s="9">
        <v>11.6745</v>
      </c>
      <c r="N565" s="9">
        <v>4.7850000000000001</v>
      </c>
      <c r="O565" s="9">
        <v>0.36199999999999999</v>
      </c>
      <c r="P565" s="9">
        <v>1.1791</v>
      </c>
      <c r="Q565" s="9">
        <v>19.053000000000001</v>
      </c>
      <c r="R565" s="9"/>
      <c r="S565" s="11"/>
    </row>
    <row r="566" spans="1:19" ht="15.75">
      <c r="A566" s="13">
        <v>58745</v>
      </c>
      <c r="B566" s="8">
        <f>15.2857 * CHOOSE(CONTROL!$C$15, $D$11, 100%, $F$11)</f>
        <v>15.2857</v>
      </c>
      <c r="C566" s="8">
        <f>15.2965 * CHOOSE(CONTROL!$C$15, $D$11, 100%, $F$11)</f>
        <v>15.2965</v>
      </c>
      <c r="D566" s="8">
        <f>15.3319 * CHOOSE( CONTROL!$C$15, $D$11, 100%, $F$11)</f>
        <v>15.331899999999999</v>
      </c>
      <c r="E566" s="12">
        <f>15.3191 * CHOOSE( CONTROL!$C$15, $D$11, 100%, $F$11)</f>
        <v>15.319100000000001</v>
      </c>
      <c r="F566" s="4">
        <f>16.0146 * CHOOSE(CONTROL!$C$15, $D$11, 100%, $F$11)</f>
        <v>16.014600000000002</v>
      </c>
      <c r="G566" s="8">
        <f>14.9404 * CHOOSE( CONTROL!$C$15, $D$11, 100%, $F$11)</f>
        <v>14.9404</v>
      </c>
      <c r="H566" s="4">
        <f>15.8915 * CHOOSE(CONTROL!$C$15, $D$11, 100%, $F$11)</f>
        <v>15.891500000000001</v>
      </c>
      <c r="I566" s="8">
        <f>14.7842 * CHOOSE(CONTROL!$C$15, $D$11, 100%, $F$11)</f>
        <v>14.7842</v>
      </c>
      <c r="J566" s="4">
        <f>14.6614 * CHOOSE(CONTROL!$C$15, $D$11, 100%, $F$11)</f>
        <v>14.6614</v>
      </c>
      <c r="K566" s="4"/>
      <c r="L566" s="9">
        <v>31.095300000000002</v>
      </c>
      <c r="M566" s="9">
        <v>12.063700000000001</v>
      </c>
      <c r="N566" s="9">
        <v>4.9444999999999997</v>
      </c>
      <c r="O566" s="9">
        <v>0.37409999999999999</v>
      </c>
      <c r="P566" s="9">
        <v>1.2183999999999999</v>
      </c>
      <c r="Q566" s="9">
        <v>19.688099999999999</v>
      </c>
      <c r="R566" s="9"/>
      <c r="S566" s="11"/>
    </row>
    <row r="567" spans="1:19" ht="15.75">
      <c r="A567" s="13">
        <v>58775</v>
      </c>
      <c r="B567" s="8">
        <f>16.4846 * CHOOSE(CONTROL!$C$15, $D$11, 100%, $F$11)</f>
        <v>16.4846</v>
      </c>
      <c r="C567" s="8">
        <f>16.4954 * CHOOSE(CONTROL!$C$15, $D$11, 100%, $F$11)</f>
        <v>16.4954</v>
      </c>
      <c r="D567" s="8">
        <f>16.4714 * CHOOSE( CONTROL!$C$15, $D$11, 100%, $F$11)</f>
        <v>16.471399999999999</v>
      </c>
      <c r="E567" s="12">
        <f>16.479 * CHOOSE( CONTROL!$C$15, $D$11, 100%, $F$11)</f>
        <v>16.478999999999999</v>
      </c>
      <c r="F567" s="4">
        <f>17.1457 * CHOOSE(CONTROL!$C$15, $D$11, 100%, $F$11)</f>
        <v>17.145700000000001</v>
      </c>
      <c r="G567" s="8">
        <f>16.1125 * CHOOSE( CONTROL!$C$15, $D$11, 100%, $F$11)</f>
        <v>16.112500000000001</v>
      </c>
      <c r="H567" s="4">
        <f>16.9975 * CHOOSE(CONTROL!$C$15, $D$11, 100%, $F$11)</f>
        <v>16.997499999999999</v>
      </c>
      <c r="I567" s="8">
        <f>15.9791 * CHOOSE(CONTROL!$C$15, $D$11, 100%, $F$11)</f>
        <v>15.979100000000001</v>
      </c>
      <c r="J567" s="4">
        <f>15.8124 * CHOOSE(CONTROL!$C$15, $D$11, 100%, $F$11)</f>
        <v>15.8124</v>
      </c>
      <c r="K567" s="4"/>
      <c r="L567" s="9">
        <v>28.360600000000002</v>
      </c>
      <c r="M567" s="9">
        <v>11.6745</v>
      </c>
      <c r="N567" s="9">
        <v>4.7850000000000001</v>
      </c>
      <c r="O567" s="9">
        <v>0.36199999999999999</v>
      </c>
      <c r="P567" s="9">
        <v>1.2509999999999999</v>
      </c>
      <c r="Q567" s="9">
        <v>19.053000000000001</v>
      </c>
      <c r="R567" s="9"/>
      <c r="S567" s="11"/>
    </row>
    <row r="568" spans="1:19" ht="15.75">
      <c r="A568" s="13">
        <v>58806</v>
      </c>
      <c r="B568" s="8">
        <f>16.4547 * CHOOSE(CONTROL!$C$15, $D$11, 100%, $F$11)</f>
        <v>16.454699999999999</v>
      </c>
      <c r="C568" s="8">
        <f>16.4654 * CHOOSE(CONTROL!$C$15, $D$11, 100%, $F$11)</f>
        <v>16.465399999999999</v>
      </c>
      <c r="D568" s="8">
        <f>16.4432 * CHOOSE( CONTROL!$C$15, $D$11, 100%, $F$11)</f>
        <v>16.443200000000001</v>
      </c>
      <c r="E568" s="12">
        <f>16.4502 * CHOOSE( CONTROL!$C$15, $D$11, 100%, $F$11)</f>
        <v>16.450199999999999</v>
      </c>
      <c r="F568" s="4">
        <f>17.1158 * CHOOSE(CONTROL!$C$15, $D$11, 100%, $F$11)</f>
        <v>17.1158</v>
      </c>
      <c r="G568" s="8">
        <f>16.0844 * CHOOSE( CONTROL!$C$15, $D$11, 100%, $F$11)</f>
        <v>16.084399999999999</v>
      </c>
      <c r="H568" s="4">
        <f>16.9682 * CHOOSE(CONTROL!$C$15, $D$11, 100%, $F$11)</f>
        <v>16.9682</v>
      </c>
      <c r="I568" s="8">
        <f>15.9555 * CHOOSE(CONTROL!$C$15, $D$11, 100%, $F$11)</f>
        <v>15.955500000000001</v>
      </c>
      <c r="J568" s="4">
        <f>15.7837 * CHOOSE(CONTROL!$C$15, $D$11, 100%, $F$11)</f>
        <v>15.7837</v>
      </c>
      <c r="K568" s="4"/>
      <c r="L568" s="9">
        <v>29.306000000000001</v>
      </c>
      <c r="M568" s="9">
        <v>12.063700000000001</v>
      </c>
      <c r="N568" s="9">
        <v>4.9444999999999997</v>
      </c>
      <c r="O568" s="9">
        <v>0.37409999999999999</v>
      </c>
      <c r="P568" s="9">
        <v>1.2927</v>
      </c>
      <c r="Q568" s="9">
        <v>19.688099999999999</v>
      </c>
      <c r="R568" s="9"/>
      <c r="S568" s="11"/>
    </row>
    <row r="569" spans="1:19" ht="15.75">
      <c r="A569" s="13">
        <v>58837</v>
      </c>
      <c r="B569" s="8">
        <f>16.9396 * CHOOSE(CONTROL!$C$15, $D$11, 100%, $F$11)</f>
        <v>16.939599999999999</v>
      </c>
      <c r="C569" s="8">
        <f>16.9504 * CHOOSE(CONTROL!$C$15, $D$11, 100%, $F$11)</f>
        <v>16.950399999999998</v>
      </c>
      <c r="D569" s="8">
        <f>16.932 * CHOOSE( CONTROL!$C$15, $D$11, 100%, $F$11)</f>
        <v>16.931999999999999</v>
      </c>
      <c r="E569" s="12">
        <f>16.9376 * CHOOSE( CONTROL!$C$15, $D$11, 100%, $F$11)</f>
        <v>16.9376</v>
      </c>
      <c r="F569" s="4">
        <f>17.6007 * CHOOSE(CONTROL!$C$15, $D$11, 100%, $F$11)</f>
        <v>17.6007</v>
      </c>
      <c r="G569" s="8">
        <f>16.5542 * CHOOSE( CONTROL!$C$15, $D$11, 100%, $F$11)</f>
        <v>16.554200000000002</v>
      </c>
      <c r="H569" s="4">
        <f>17.4423 * CHOOSE(CONTROL!$C$15, $D$11, 100%, $F$11)</f>
        <v>17.442299999999999</v>
      </c>
      <c r="I569" s="8">
        <f>16.3767 * CHOOSE(CONTROL!$C$15, $D$11, 100%, $F$11)</f>
        <v>16.3767</v>
      </c>
      <c r="J569" s="4">
        <f>16.2492 * CHOOSE(CONTROL!$C$15, $D$11, 100%, $F$11)</f>
        <v>16.249199999999998</v>
      </c>
      <c r="K569" s="4"/>
      <c r="L569" s="9">
        <v>29.306000000000001</v>
      </c>
      <c r="M569" s="9">
        <v>12.063700000000001</v>
      </c>
      <c r="N569" s="9">
        <v>4.9444999999999997</v>
      </c>
      <c r="O569" s="9">
        <v>0.37409999999999999</v>
      </c>
      <c r="P569" s="9">
        <v>1.2927</v>
      </c>
      <c r="Q569" s="9">
        <v>19.688099999999999</v>
      </c>
      <c r="R569" s="9"/>
      <c r="S569" s="11"/>
    </row>
    <row r="570" spans="1:19" ht="15.75">
      <c r="A570" s="13">
        <v>58865</v>
      </c>
      <c r="B570" s="8">
        <f>15.8455 * CHOOSE(CONTROL!$C$15, $D$11, 100%, $F$11)</f>
        <v>15.845499999999999</v>
      </c>
      <c r="C570" s="8">
        <f>15.8562 * CHOOSE(CONTROL!$C$15, $D$11, 100%, $F$11)</f>
        <v>15.856199999999999</v>
      </c>
      <c r="D570" s="8">
        <f>15.8377 * CHOOSE( CONTROL!$C$15, $D$11, 100%, $F$11)</f>
        <v>15.8377</v>
      </c>
      <c r="E570" s="12">
        <f>15.8433 * CHOOSE( CONTROL!$C$15, $D$11, 100%, $F$11)</f>
        <v>15.843299999999999</v>
      </c>
      <c r="F570" s="4">
        <f>16.5066 * CHOOSE(CONTROL!$C$15, $D$11, 100%, $F$11)</f>
        <v>16.506599999999999</v>
      </c>
      <c r="G570" s="8">
        <f>15.4843 * CHOOSE( CONTROL!$C$15, $D$11, 100%, $F$11)</f>
        <v>15.484299999999999</v>
      </c>
      <c r="H570" s="4">
        <f>16.3726 * CHOOSE(CONTROL!$C$15, $D$11, 100%, $F$11)</f>
        <v>16.372599999999998</v>
      </c>
      <c r="I570" s="8">
        <f>15.3252 * CHOOSE(CONTROL!$C$15, $D$11, 100%, $F$11)</f>
        <v>15.325200000000001</v>
      </c>
      <c r="J570" s="4">
        <f>15.1988 * CHOOSE(CONTROL!$C$15, $D$11, 100%, $F$11)</f>
        <v>15.1988</v>
      </c>
      <c r="K570" s="4"/>
      <c r="L570" s="9">
        <v>26.469899999999999</v>
      </c>
      <c r="M570" s="9">
        <v>10.8962</v>
      </c>
      <c r="N570" s="9">
        <v>4.4660000000000002</v>
      </c>
      <c r="O570" s="9">
        <v>0.33789999999999998</v>
      </c>
      <c r="P570" s="9">
        <v>1.1676</v>
      </c>
      <c r="Q570" s="9">
        <v>17.782800000000002</v>
      </c>
      <c r="R570" s="9"/>
      <c r="S570" s="11"/>
    </row>
    <row r="571" spans="1:19" ht="15.75">
      <c r="A571" s="13">
        <v>58893</v>
      </c>
      <c r="B571" s="8">
        <f>15.5085 * CHOOSE(CONTROL!$C$15, $D$11, 100%, $F$11)</f>
        <v>15.5085</v>
      </c>
      <c r="C571" s="8">
        <f>15.5192 * CHOOSE(CONTROL!$C$15, $D$11, 100%, $F$11)</f>
        <v>15.5192</v>
      </c>
      <c r="D571" s="8">
        <f>15.5002 * CHOOSE( CONTROL!$C$15, $D$11, 100%, $F$11)</f>
        <v>15.5002</v>
      </c>
      <c r="E571" s="12">
        <f>15.506 * CHOOSE( CONTROL!$C$15, $D$11, 100%, $F$11)</f>
        <v>15.506</v>
      </c>
      <c r="F571" s="4">
        <f>16.1696 * CHOOSE(CONTROL!$C$15, $D$11, 100%, $F$11)</f>
        <v>16.169599999999999</v>
      </c>
      <c r="G571" s="8">
        <f>15.1545 * CHOOSE( CONTROL!$C$15, $D$11, 100%, $F$11)</f>
        <v>15.154500000000001</v>
      </c>
      <c r="H571" s="4">
        <f>16.0431 * CHOOSE(CONTROL!$C$15, $D$11, 100%, $F$11)</f>
        <v>16.043099999999999</v>
      </c>
      <c r="I571" s="8">
        <f>15 * CHOOSE(CONTROL!$C$15, $D$11, 100%, $F$11)</f>
        <v>15</v>
      </c>
      <c r="J571" s="4">
        <f>14.8752 * CHOOSE(CONTROL!$C$15, $D$11, 100%, $F$11)</f>
        <v>14.8752</v>
      </c>
      <c r="K571" s="4"/>
      <c r="L571" s="9">
        <v>29.306000000000001</v>
      </c>
      <c r="M571" s="9">
        <v>12.063700000000001</v>
      </c>
      <c r="N571" s="9">
        <v>4.9444999999999997</v>
      </c>
      <c r="O571" s="9">
        <v>0.37409999999999999</v>
      </c>
      <c r="P571" s="9">
        <v>1.2927</v>
      </c>
      <c r="Q571" s="9">
        <v>19.688099999999999</v>
      </c>
      <c r="R571" s="9"/>
      <c r="S571" s="11"/>
    </row>
    <row r="572" spans="1:19" ht="15.75">
      <c r="A572" s="13">
        <v>58926</v>
      </c>
      <c r="B572" s="8">
        <f>15.7439 * CHOOSE(CONTROL!$C$15, $D$11, 100%, $F$11)</f>
        <v>15.7439</v>
      </c>
      <c r="C572" s="8">
        <f>15.7547 * CHOOSE(CONTROL!$C$15, $D$11, 100%, $F$11)</f>
        <v>15.7547</v>
      </c>
      <c r="D572" s="8">
        <f>15.7895 * CHOOSE( CONTROL!$C$15, $D$11, 100%, $F$11)</f>
        <v>15.7895</v>
      </c>
      <c r="E572" s="12">
        <f>15.7768 * CHOOSE( CONTROL!$C$15, $D$11, 100%, $F$11)</f>
        <v>15.7768</v>
      </c>
      <c r="F572" s="4">
        <f>16.4728 * CHOOSE(CONTROL!$C$15, $D$11, 100%, $F$11)</f>
        <v>16.472799999999999</v>
      </c>
      <c r="G572" s="8">
        <f>15.3874 * CHOOSE( CONTROL!$C$15, $D$11, 100%, $F$11)</f>
        <v>15.3874</v>
      </c>
      <c r="H572" s="4">
        <f>16.3395 * CHOOSE(CONTROL!$C$15, $D$11, 100%, $F$11)</f>
        <v>16.339500000000001</v>
      </c>
      <c r="I572" s="8">
        <f>15.2215 * CHOOSE(CONTROL!$C$15, $D$11, 100%, $F$11)</f>
        <v>15.221500000000001</v>
      </c>
      <c r="J572" s="4">
        <f>15.1013 * CHOOSE(CONTROL!$C$15, $D$11, 100%, $F$11)</f>
        <v>15.1013</v>
      </c>
      <c r="K572" s="4"/>
      <c r="L572" s="9">
        <v>30.092199999999998</v>
      </c>
      <c r="M572" s="9">
        <v>11.6745</v>
      </c>
      <c r="N572" s="9">
        <v>4.7850000000000001</v>
      </c>
      <c r="O572" s="9">
        <v>0.36199999999999999</v>
      </c>
      <c r="P572" s="9">
        <v>1.1791</v>
      </c>
      <c r="Q572" s="9">
        <v>19.053000000000001</v>
      </c>
      <c r="R572" s="9"/>
      <c r="S572" s="11"/>
    </row>
    <row r="573" spans="1:19" ht="15.75">
      <c r="A573" s="13">
        <v>58957</v>
      </c>
      <c r="B573" s="8">
        <f>CHOOSE( CONTROL!$C$32, 16.1652, 16.1629) * CHOOSE(CONTROL!$C$15, $D$11, 100%, $F$11)</f>
        <v>16.165199999999999</v>
      </c>
      <c r="C573" s="8">
        <f>CHOOSE( CONTROL!$C$32, 16.1758, 16.1735) * CHOOSE(CONTROL!$C$15, $D$11, 100%, $F$11)</f>
        <v>16.175799999999999</v>
      </c>
      <c r="D573" s="8">
        <f>CHOOSE( CONTROL!$C$32, 16.2096, 16.2073) * CHOOSE( CONTROL!$C$15, $D$11, 100%, $F$11)</f>
        <v>16.209599999999998</v>
      </c>
      <c r="E573" s="12">
        <f>CHOOSE( CONTROL!$C$32, 16.1957, 16.1934) * CHOOSE( CONTROL!$C$15, $D$11, 100%, $F$11)</f>
        <v>16.195699999999999</v>
      </c>
      <c r="F573" s="4">
        <f>CHOOSE( CONTROL!$C$32, 16.8942, 16.8919) * CHOOSE(CONTROL!$C$15, $D$11, 100%, $F$11)</f>
        <v>16.894200000000001</v>
      </c>
      <c r="G573" s="8">
        <f>CHOOSE( CONTROL!$C$32, 15.7999, 15.7977) * CHOOSE( CONTROL!$C$15, $D$11, 100%, $F$11)</f>
        <v>15.799899999999999</v>
      </c>
      <c r="H573" s="4">
        <f>CHOOSE( CONTROL!$C$32, 16.7515, 16.7493) * CHOOSE(CONTROL!$C$15, $D$11, 100%, $F$11)</f>
        <v>16.7515</v>
      </c>
      <c r="I573" s="8">
        <f>CHOOSE( CONTROL!$C$32, 15.6263, 15.6241) * CHOOSE(CONTROL!$C$15, $D$11, 100%, $F$11)</f>
        <v>15.626300000000001</v>
      </c>
      <c r="J573" s="4">
        <f>CHOOSE( CONTROL!$C$32, 15.5059, 15.5037) * CHOOSE(CONTROL!$C$15, $D$11, 100%, $F$11)</f>
        <v>15.5059</v>
      </c>
      <c r="K573" s="4"/>
      <c r="L573" s="9">
        <v>30.7165</v>
      </c>
      <c r="M573" s="9">
        <v>12.063700000000001</v>
      </c>
      <c r="N573" s="9">
        <v>4.9444999999999997</v>
      </c>
      <c r="O573" s="9">
        <v>0.37409999999999999</v>
      </c>
      <c r="P573" s="9">
        <v>1.2183999999999999</v>
      </c>
      <c r="Q573" s="9">
        <v>19.688099999999999</v>
      </c>
      <c r="R573" s="9"/>
      <c r="S573" s="11"/>
    </row>
    <row r="574" spans="1:19" ht="15.75">
      <c r="A574" s="13">
        <v>58987</v>
      </c>
      <c r="B574" s="8">
        <f>CHOOSE( CONTROL!$C$32, 15.9056, 15.9033) * CHOOSE(CONTROL!$C$15, $D$11, 100%, $F$11)</f>
        <v>15.9056</v>
      </c>
      <c r="C574" s="8">
        <f>CHOOSE( CONTROL!$C$32, 15.9162, 15.9139) * CHOOSE(CONTROL!$C$15, $D$11, 100%, $F$11)</f>
        <v>15.9162</v>
      </c>
      <c r="D574" s="8">
        <f>CHOOSE( CONTROL!$C$32, 15.9502, 15.9478) * CHOOSE( CONTROL!$C$15, $D$11, 100%, $F$11)</f>
        <v>15.950200000000001</v>
      </c>
      <c r="E574" s="12">
        <f>CHOOSE( CONTROL!$C$32, 15.9363, 15.9339) * CHOOSE( CONTROL!$C$15, $D$11, 100%, $F$11)</f>
        <v>15.936299999999999</v>
      </c>
      <c r="F574" s="4">
        <f>CHOOSE( CONTROL!$C$32, 16.6345, 16.6322) * CHOOSE(CONTROL!$C$15, $D$11, 100%, $F$11)</f>
        <v>16.634499999999999</v>
      </c>
      <c r="G574" s="8">
        <f>CHOOSE( CONTROL!$C$32, 15.5464, 15.5441) * CHOOSE( CONTROL!$C$15, $D$11, 100%, $F$11)</f>
        <v>15.5464</v>
      </c>
      <c r="H574" s="4">
        <f>CHOOSE( CONTROL!$C$32, 16.4977, 16.4954) * CHOOSE(CONTROL!$C$15, $D$11, 100%, $F$11)</f>
        <v>16.497699999999998</v>
      </c>
      <c r="I574" s="8">
        <f>CHOOSE( CONTROL!$C$32, 15.3777, 15.3755) * CHOOSE(CONTROL!$C$15, $D$11, 100%, $F$11)</f>
        <v>15.377700000000001</v>
      </c>
      <c r="J574" s="4">
        <f>CHOOSE( CONTROL!$C$32, 15.2566, 15.2544) * CHOOSE(CONTROL!$C$15, $D$11, 100%, $F$11)</f>
        <v>15.256600000000001</v>
      </c>
      <c r="K574" s="4"/>
      <c r="L574" s="9">
        <v>29.7257</v>
      </c>
      <c r="M574" s="9">
        <v>11.6745</v>
      </c>
      <c r="N574" s="9">
        <v>4.7850000000000001</v>
      </c>
      <c r="O574" s="9">
        <v>0.36199999999999999</v>
      </c>
      <c r="P574" s="9">
        <v>1.1791</v>
      </c>
      <c r="Q574" s="9">
        <v>19.053000000000001</v>
      </c>
      <c r="R574" s="9"/>
      <c r="S574" s="11"/>
    </row>
    <row r="575" spans="1:19" ht="15.75">
      <c r="A575" s="13">
        <v>59018</v>
      </c>
      <c r="B575" s="8">
        <f>CHOOSE( CONTROL!$C$32, 16.5893, 16.587) * CHOOSE(CONTROL!$C$15, $D$11, 100%, $F$11)</f>
        <v>16.589300000000001</v>
      </c>
      <c r="C575" s="8">
        <f>CHOOSE( CONTROL!$C$32, 16.5998, 16.5975) * CHOOSE(CONTROL!$C$15, $D$11, 100%, $F$11)</f>
        <v>16.599799999999998</v>
      </c>
      <c r="D575" s="8">
        <f>CHOOSE( CONTROL!$C$32, 16.634, 16.6317) * CHOOSE( CONTROL!$C$15, $D$11, 100%, $F$11)</f>
        <v>16.634</v>
      </c>
      <c r="E575" s="12">
        <f>CHOOSE( CONTROL!$C$32, 16.62, 16.6177) * CHOOSE( CONTROL!$C$15, $D$11, 100%, $F$11)</f>
        <v>16.62</v>
      </c>
      <c r="F575" s="4">
        <f>CHOOSE( CONTROL!$C$32, 17.3182, 17.3159) * CHOOSE(CONTROL!$C$15, $D$11, 100%, $F$11)</f>
        <v>17.318200000000001</v>
      </c>
      <c r="G575" s="8">
        <f>CHOOSE( CONTROL!$C$32, 16.2151, 16.2129) * CHOOSE( CONTROL!$C$15, $D$11, 100%, $F$11)</f>
        <v>16.2151</v>
      </c>
      <c r="H575" s="4">
        <f>CHOOSE( CONTROL!$C$32, 17.1661, 17.1639) * CHOOSE(CONTROL!$C$15, $D$11, 100%, $F$11)</f>
        <v>17.1661</v>
      </c>
      <c r="I575" s="8">
        <f>CHOOSE( CONTROL!$C$32, 16.0354, 16.0332) * CHOOSE(CONTROL!$C$15, $D$11, 100%, $F$11)</f>
        <v>16.035399999999999</v>
      </c>
      <c r="J575" s="4">
        <f>CHOOSE( CONTROL!$C$32, 15.913, 15.9108) * CHOOSE(CONTROL!$C$15, $D$11, 100%, $F$11)</f>
        <v>15.913</v>
      </c>
      <c r="K575" s="4"/>
      <c r="L575" s="9">
        <v>30.7165</v>
      </c>
      <c r="M575" s="9">
        <v>12.063700000000001</v>
      </c>
      <c r="N575" s="9">
        <v>4.9444999999999997</v>
      </c>
      <c r="O575" s="9">
        <v>0.37409999999999999</v>
      </c>
      <c r="P575" s="9">
        <v>1.2183999999999999</v>
      </c>
      <c r="Q575" s="9">
        <v>19.688099999999999</v>
      </c>
      <c r="R575" s="9"/>
      <c r="S575" s="11"/>
    </row>
    <row r="576" spans="1:19" ht="15.75">
      <c r="A576" s="13">
        <v>59049</v>
      </c>
      <c r="B576" s="8">
        <f>CHOOSE( CONTROL!$C$32, 15.31, 15.3077) * CHOOSE(CONTROL!$C$15, $D$11, 100%, $F$11)</f>
        <v>15.31</v>
      </c>
      <c r="C576" s="8">
        <f>CHOOSE( CONTROL!$C$32, 15.3206, 15.3183) * CHOOSE(CONTROL!$C$15, $D$11, 100%, $F$11)</f>
        <v>15.320600000000001</v>
      </c>
      <c r="D576" s="8">
        <f>CHOOSE( CONTROL!$C$32, 15.3549, 15.3526) * CHOOSE( CONTROL!$C$15, $D$11, 100%, $F$11)</f>
        <v>15.354900000000001</v>
      </c>
      <c r="E576" s="12">
        <f>CHOOSE( CONTROL!$C$32, 15.3409, 15.3386) * CHOOSE( CONTROL!$C$15, $D$11, 100%, $F$11)</f>
        <v>15.3409</v>
      </c>
      <c r="F576" s="4">
        <f>CHOOSE( CONTROL!$C$32, 16.039, 16.0367) * CHOOSE(CONTROL!$C$15, $D$11, 100%, $F$11)</f>
        <v>16.039000000000001</v>
      </c>
      <c r="G576" s="8">
        <f>CHOOSE( CONTROL!$C$32, 14.9645, 14.9622) * CHOOSE( CONTROL!$C$15, $D$11, 100%, $F$11)</f>
        <v>14.964499999999999</v>
      </c>
      <c r="H576" s="4">
        <f>CHOOSE( CONTROL!$C$32, 15.9154, 15.9132) * CHOOSE(CONTROL!$C$15, $D$11, 100%, $F$11)</f>
        <v>15.9154</v>
      </c>
      <c r="I576" s="8">
        <f>CHOOSE( CONTROL!$C$32, 14.8069, 14.8047) * CHOOSE(CONTROL!$C$15, $D$11, 100%, $F$11)</f>
        <v>14.806900000000001</v>
      </c>
      <c r="J576" s="4">
        <f>CHOOSE( CONTROL!$C$32, 14.6848, 14.6826) * CHOOSE(CONTROL!$C$15, $D$11, 100%, $F$11)</f>
        <v>14.684799999999999</v>
      </c>
      <c r="K576" s="4"/>
      <c r="L576" s="9">
        <v>30.7165</v>
      </c>
      <c r="M576" s="9">
        <v>12.063700000000001</v>
      </c>
      <c r="N576" s="9">
        <v>4.9444999999999997</v>
      </c>
      <c r="O576" s="9">
        <v>0.37409999999999999</v>
      </c>
      <c r="P576" s="9">
        <v>1.2183999999999999</v>
      </c>
      <c r="Q576" s="9">
        <v>19.688099999999999</v>
      </c>
      <c r="R576" s="9"/>
      <c r="S576" s="11"/>
    </row>
    <row r="577" spans="1:19" ht="15.75">
      <c r="A577" s="13">
        <v>59079</v>
      </c>
      <c r="B577" s="8">
        <f>CHOOSE( CONTROL!$C$32, 14.9897, 14.9874) * CHOOSE(CONTROL!$C$15, $D$11, 100%, $F$11)</f>
        <v>14.989699999999999</v>
      </c>
      <c r="C577" s="8">
        <f>CHOOSE( CONTROL!$C$32, 15.0003, 14.998) * CHOOSE(CONTROL!$C$15, $D$11, 100%, $F$11)</f>
        <v>15.000299999999999</v>
      </c>
      <c r="D577" s="8">
        <f>CHOOSE( CONTROL!$C$32, 15.0345, 15.0322) * CHOOSE( CONTROL!$C$15, $D$11, 100%, $F$11)</f>
        <v>15.0345</v>
      </c>
      <c r="E577" s="12">
        <f>CHOOSE( CONTROL!$C$32, 15.0205, 15.0182) * CHOOSE( CONTROL!$C$15, $D$11, 100%, $F$11)</f>
        <v>15.0205</v>
      </c>
      <c r="F577" s="4">
        <f>CHOOSE( CONTROL!$C$32, 15.7186, 15.7163) * CHOOSE(CONTROL!$C$15, $D$11, 100%, $F$11)</f>
        <v>15.7186</v>
      </c>
      <c r="G577" s="8">
        <f>CHOOSE( CONTROL!$C$32, 14.6512, 14.649) * CHOOSE( CONTROL!$C$15, $D$11, 100%, $F$11)</f>
        <v>14.651199999999999</v>
      </c>
      <c r="H577" s="4">
        <f>CHOOSE( CONTROL!$C$32, 15.6022, 15.6) * CHOOSE(CONTROL!$C$15, $D$11, 100%, $F$11)</f>
        <v>15.6022</v>
      </c>
      <c r="I577" s="8">
        <f>CHOOSE( CONTROL!$C$32, 14.499, 14.4968) * CHOOSE(CONTROL!$C$15, $D$11, 100%, $F$11)</f>
        <v>14.499000000000001</v>
      </c>
      <c r="J577" s="4">
        <f>CHOOSE( CONTROL!$C$32, 14.3773, 14.3751) * CHOOSE(CONTROL!$C$15, $D$11, 100%, $F$11)</f>
        <v>14.3773</v>
      </c>
      <c r="K577" s="4"/>
      <c r="L577" s="9">
        <v>29.7257</v>
      </c>
      <c r="M577" s="9">
        <v>11.6745</v>
      </c>
      <c r="N577" s="9">
        <v>4.7850000000000001</v>
      </c>
      <c r="O577" s="9">
        <v>0.36199999999999999</v>
      </c>
      <c r="P577" s="9">
        <v>1.1791</v>
      </c>
      <c r="Q577" s="9">
        <v>19.053000000000001</v>
      </c>
      <c r="R577" s="9"/>
      <c r="S577" s="11"/>
    </row>
    <row r="578" spans="1:19" ht="15.75">
      <c r="A578" s="13">
        <v>59110</v>
      </c>
      <c r="B578" s="8">
        <f>15.6526 * CHOOSE(CONTROL!$C$15, $D$11, 100%, $F$11)</f>
        <v>15.6526</v>
      </c>
      <c r="C578" s="8">
        <f>15.6634 * CHOOSE(CONTROL!$C$15, $D$11, 100%, $F$11)</f>
        <v>15.663399999999999</v>
      </c>
      <c r="D578" s="8">
        <f>15.6988 * CHOOSE( CONTROL!$C$15, $D$11, 100%, $F$11)</f>
        <v>15.6988</v>
      </c>
      <c r="E578" s="12">
        <f>15.686 * CHOOSE( CONTROL!$C$15, $D$11, 100%, $F$11)</f>
        <v>15.686</v>
      </c>
      <c r="F578" s="4">
        <f>16.3815 * CHOOSE(CONTROL!$C$15, $D$11, 100%, $F$11)</f>
        <v>16.381499999999999</v>
      </c>
      <c r="G578" s="8">
        <f>15.2991 * CHOOSE( CONTROL!$C$15, $D$11, 100%, $F$11)</f>
        <v>15.299099999999999</v>
      </c>
      <c r="H578" s="4">
        <f>16.2503 * CHOOSE(CONTROL!$C$15, $D$11, 100%, $F$11)</f>
        <v>16.250299999999999</v>
      </c>
      <c r="I578" s="8">
        <f>15.1366 * CHOOSE(CONTROL!$C$15, $D$11, 100%, $F$11)</f>
        <v>15.1366</v>
      </c>
      <c r="J578" s="4">
        <f>15.0137 * CHOOSE(CONTROL!$C$15, $D$11, 100%, $F$11)</f>
        <v>15.0137</v>
      </c>
      <c r="K578" s="4"/>
      <c r="L578" s="9">
        <v>31.095300000000002</v>
      </c>
      <c r="M578" s="9">
        <v>12.063700000000001</v>
      </c>
      <c r="N578" s="9">
        <v>4.9444999999999997</v>
      </c>
      <c r="O578" s="9">
        <v>0.37409999999999999</v>
      </c>
      <c r="P578" s="9">
        <v>1.2183999999999999</v>
      </c>
      <c r="Q578" s="9">
        <v>19.688099999999999</v>
      </c>
      <c r="R578" s="9"/>
      <c r="S578" s="11"/>
    </row>
    <row r="579" spans="1:19" ht="15.75">
      <c r="A579" s="13">
        <v>59140</v>
      </c>
      <c r="B579" s="8">
        <f>16.8804 * CHOOSE(CONTROL!$C$15, $D$11, 100%, $F$11)</f>
        <v>16.880400000000002</v>
      </c>
      <c r="C579" s="8">
        <f>16.8911 * CHOOSE(CONTROL!$C$15, $D$11, 100%, $F$11)</f>
        <v>16.891100000000002</v>
      </c>
      <c r="D579" s="8">
        <f>16.8672 * CHOOSE( CONTROL!$C$15, $D$11, 100%, $F$11)</f>
        <v>16.8672</v>
      </c>
      <c r="E579" s="12">
        <f>16.8748 * CHOOSE( CONTROL!$C$15, $D$11, 100%, $F$11)</f>
        <v>16.8748</v>
      </c>
      <c r="F579" s="4">
        <f>17.5415 * CHOOSE(CONTROL!$C$15, $D$11, 100%, $F$11)</f>
        <v>17.541499999999999</v>
      </c>
      <c r="G579" s="8">
        <f>16.4994 * CHOOSE( CONTROL!$C$15, $D$11, 100%, $F$11)</f>
        <v>16.499400000000001</v>
      </c>
      <c r="H579" s="4">
        <f>17.3844 * CHOOSE(CONTROL!$C$15, $D$11, 100%, $F$11)</f>
        <v>17.384399999999999</v>
      </c>
      <c r="I579" s="8">
        <f>16.3593 * CHOOSE(CONTROL!$C$15, $D$11, 100%, $F$11)</f>
        <v>16.359300000000001</v>
      </c>
      <c r="J579" s="4">
        <f>16.1924 * CHOOSE(CONTROL!$C$15, $D$11, 100%, $F$11)</f>
        <v>16.192399999999999</v>
      </c>
      <c r="K579" s="4"/>
      <c r="L579" s="9">
        <v>28.360600000000002</v>
      </c>
      <c r="M579" s="9">
        <v>11.6745</v>
      </c>
      <c r="N579" s="9">
        <v>4.7850000000000001</v>
      </c>
      <c r="O579" s="9">
        <v>0.36199999999999999</v>
      </c>
      <c r="P579" s="9">
        <v>1.2509999999999999</v>
      </c>
      <c r="Q579" s="9">
        <v>19.053000000000001</v>
      </c>
      <c r="R579" s="9"/>
      <c r="S579" s="11"/>
    </row>
    <row r="580" spans="1:19" ht="15.75">
      <c r="A580" s="13">
        <v>59171</v>
      </c>
      <c r="B580" s="8">
        <f>16.8497 * CHOOSE(CONTROL!$C$15, $D$11, 100%, $F$11)</f>
        <v>16.849699999999999</v>
      </c>
      <c r="C580" s="8">
        <f>16.8604 * CHOOSE(CONTROL!$C$15, $D$11, 100%, $F$11)</f>
        <v>16.860399999999998</v>
      </c>
      <c r="D580" s="8">
        <f>16.8382 * CHOOSE( CONTROL!$C$15, $D$11, 100%, $F$11)</f>
        <v>16.838200000000001</v>
      </c>
      <c r="E580" s="12">
        <f>16.8452 * CHOOSE( CONTROL!$C$15, $D$11, 100%, $F$11)</f>
        <v>16.845199999999998</v>
      </c>
      <c r="F580" s="4">
        <f>17.5108 * CHOOSE(CONTROL!$C$15, $D$11, 100%, $F$11)</f>
        <v>17.5108</v>
      </c>
      <c r="G580" s="8">
        <f>16.4706 * CHOOSE( CONTROL!$C$15, $D$11, 100%, $F$11)</f>
        <v>16.470600000000001</v>
      </c>
      <c r="H580" s="4">
        <f>17.3544 * CHOOSE(CONTROL!$C$15, $D$11, 100%, $F$11)</f>
        <v>17.354399999999998</v>
      </c>
      <c r="I580" s="8">
        <f>16.335 * CHOOSE(CONTROL!$C$15, $D$11, 100%, $F$11)</f>
        <v>16.335000000000001</v>
      </c>
      <c r="J580" s="4">
        <f>16.1629 * CHOOSE(CONTROL!$C$15, $D$11, 100%, $F$11)</f>
        <v>16.1629</v>
      </c>
      <c r="K580" s="4"/>
      <c r="L580" s="9">
        <v>29.306000000000001</v>
      </c>
      <c r="M580" s="9">
        <v>12.063700000000001</v>
      </c>
      <c r="N580" s="9">
        <v>4.9444999999999997</v>
      </c>
      <c r="O580" s="9">
        <v>0.37409999999999999</v>
      </c>
      <c r="P580" s="9">
        <v>1.2927</v>
      </c>
      <c r="Q580" s="9">
        <v>19.688099999999999</v>
      </c>
      <c r="R580" s="9"/>
      <c r="S580" s="11"/>
    </row>
    <row r="581" spans="1:19" ht="15.75">
      <c r="A581" s="13">
        <v>59202</v>
      </c>
      <c r="B581" s="8">
        <f>17.3462 * CHOOSE(CONTROL!$C$15, $D$11, 100%, $F$11)</f>
        <v>17.3462</v>
      </c>
      <c r="C581" s="8">
        <f>17.357 * CHOOSE(CONTROL!$C$15, $D$11, 100%, $F$11)</f>
        <v>17.356999999999999</v>
      </c>
      <c r="D581" s="8">
        <f>17.3386 * CHOOSE( CONTROL!$C$15, $D$11, 100%, $F$11)</f>
        <v>17.3386</v>
      </c>
      <c r="E581" s="12">
        <f>17.3442 * CHOOSE( CONTROL!$C$15, $D$11, 100%, $F$11)</f>
        <v>17.344200000000001</v>
      </c>
      <c r="F581" s="4">
        <f>18.0074 * CHOOSE(CONTROL!$C$15, $D$11, 100%, $F$11)</f>
        <v>18.007400000000001</v>
      </c>
      <c r="G581" s="8">
        <f>16.9517 * CHOOSE( CONTROL!$C$15, $D$11, 100%, $F$11)</f>
        <v>16.951699999999999</v>
      </c>
      <c r="H581" s="4">
        <f>17.8399 * CHOOSE(CONTROL!$C$15, $D$11, 100%, $F$11)</f>
        <v>17.8399</v>
      </c>
      <c r="I581" s="8">
        <f>16.7673 * CHOOSE(CONTROL!$C$15, $D$11, 100%, $F$11)</f>
        <v>16.767299999999999</v>
      </c>
      <c r="J581" s="4">
        <f>16.6397 * CHOOSE(CONTROL!$C$15, $D$11, 100%, $F$11)</f>
        <v>16.639700000000001</v>
      </c>
      <c r="K581" s="4"/>
      <c r="L581" s="9">
        <v>29.306000000000001</v>
      </c>
      <c r="M581" s="9">
        <v>12.063700000000001</v>
      </c>
      <c r="N581" s="9">
        <v>4.9444999999999997</v>
      </c>
      <c r="O581" s="9">
        <v>0.37409999999999999</v>
      </c>
      <c r="P581" s="9">
        <v>1.2927</v>
      </c>
      <c r="Q581" s="9">
        <v>19.688099999999999</v>
      </c>
      <c r="R581" s="9"/>
      <c r="S581" s="11"/>
    </row>
    <row r="582" spans="1:19" ht="15.75">
      <c r="A582" s="13">
        <v>59230</v>
      </c>
      <c r="B582" s="8">
        <f>16.2258 * CHOOSE(CONTROL!$C$15, $D$11, 100%, $F$11)</f>
        <v>16.2258</v>
      </c>
      <c r="C582" s="8">
        <f>16.2366 * CHOOSE(CONTROL!$C$15, $D$11, 100%, $F$11)</f>
        <v>16.236599999999999</v>
      </c>
      <c r="D582" s="8">
        <f>16.218 * CHOOSE( CONTROL!$C$15, $D$11, 100%, $F$11)</f>
        <v>16.218</v>
      </c>
      <c r="E582" s="12">
        <f>16.2237 * CHOOSE( CONTROL!$C$15, $D$11, 100%, $F$11)</f>
        <v>16.223700000000001</v>
      </c>
      <c r="F582" s="4">
        <f>16.8869 * CHOOSE(CONTROL!$C$15, $D$11, 100%, $F$11)</f>
        <v>16.886900000000001</v>
      </c>
      <c r="G582" s="8">
        <f>15.8562 * CHOOSE( CONTROL!$C$15, $D$11, 100%, $F$11)</f>
        <v>15.856199999999999</v>
      </c>
      <c r="H582" s="4">
        <f>16.7445 * CHOOSE(CONTROL!$C$15, $D$11, 100%, $F$11)</f>
        <v>16.744499999999999</v>
      </c>
      <c r="I582" s="8">
        <f>15.6906 * CHOOSE(CONTROL!$C$15, $D$11, 100%, $F$11)</f>
        <v>15.6906</v>
      </c>
      <c r="J582" s="4">
        <f>15.5639 * CHOOSE(CONTROL!$C$15, $D$11, 100%, $F$11)</f>
        <v>15.5639</v>
      </c>
      <c r="K582" s="4"/>
      <c r="L582" s="9">
        <v>26.469899999999999</v>
      </c>
      <c r="M582" s="9">
        <v>10.8962</v>
      </c>
      <c r="N582" s="9">
        <v>4.4660000000000002</v>
      </c>
      <c r="O582" s="9">
        <v>0.33789999999999998</v>
      </c>
      <c r="P582" s="9">
        <v>1.1676</v>
      </c>
      <c r="Q582" s="9">
        <v>17.782800000000002</v>
      </c>
      <c r="R582" s="9"/>
      <c r="S582" s="11"/>
    </row>
    <row r="583" spans="1:19" ht="15.75">
      <c r="A583" s="13">
        <v>59261</v>
      </c>
      <c r="B583" s="8">
        <f>15.8807 * CHOOSE(CONTROL!$C$15, $D$11, 100%, $F$11)</f>
        <v>15.880699999999999</v>
      </c>
      <c r="C583" s="8">
        <f>15.8915 * CHOOSE(CONTROL!$C$15, $D$11, 100%, $F$11)</f>
        <v>15.891500000000001</v>
      </c>
      <c r="D583" s="8">
        <f>15.8724 * CHOOSE( CONTROL!$C$15, $D$11, 100%, $F$11)</f>
        <v>15.872400000000001</v>
      </c>
      <c r="E583" s="12">
        <f>15.8782 * CHOOSE( CONTROL!$C$15, $D$11, 100%, $F$11)</f>
        <v>15.8782</v>
      </c>
      <c r="F583" s="4">
        <f>16.5418 * CHOOSE(CONTROL!$C$15, $D$11, 100%, $F$11)</f>
        <v>16.541799999999999</v>
      </c>
      <c r="G583" s="8">
        <f>15.5184 * CHOOSE( CONTROL!$C$15, $D$11, 100%, $F$11)</f>
        <v>15.5184</v>
      </c>
      <c r="H583" s="4">
        <f>16.4071 * CHOOSE(CONTROL!$C$15, $D$11, 100%, $F$11)</f>
        <v>16.4071</v>
      </c>
      <c r="I583" s="8">
        <f>15.3576 * CHOOSE(CONTROL!$C$15, $D$11, 100%, $F$11)</f>
        <v>15.3576</v>
      </c>
      <c r="J583" s="4">
        <f>15.2326 * CHOOSE(CONTROL!$C$15, $D$11, 100%, $F$11)</f>
        <v>15.2326</v>
      </c>
      <c r="K583" s="4"/>
      <c r="L583" s="9">
        <v>29.306000000000001</v>
      </c>
      <c r="M583" s="9">
        <v>12.063700000000001</v>
      </c>
      <c r="N583" s="9">
        <v>4.9444999999999997</v>
      </c>
      <c r="O583" s="9">
        <v>0.37409999999999999</v>
      </c>
      <c r="P583" s="9">
        <v>1.2927</v>
      </c>
      <c r="Q583" s="9">
        <v>19.688099999999999</v>
      </c>
      <c r="R583" s="9"/>
      <c r="S583" s="11"/>
    </row>
    <row r="584" spans="1:19" ht="15.75">
      <c r="A584" s="13">
        <v>59291</v>
      </c>
      <c r="B584" s="8">
        <f>16.1218 * CHOOSE(CONTROL!$C$15, $D$11, 100%, $F$11)</f>
        <v>16.1218</v>
      </c>
      <c r="C584" s="8">
        <f>16.1326 * CHOOSE(CONTROL!$C$15, $D$11, 100%, $F$11)</f>
        <v>16.1326</v>
      </c>
      <c r="D584" s="8">
        <f>16.1674 * CHOOSE( CONTROL!$C$15, $D$11, 100%, $F$11)</f>
        <v>16.167400000000001</v>
      </c>
      <c r="E584" s="12">
        <f>16.1547 * CHOOSE( CONTROL!$C$15, $D$11, 100%, $F$11)</f>
        <v>16.154699999999998</v>
      </c>
      <c r="F584" s="4">
        <f>16.8507 * CHOOSE(CONTROL!$C$15, $D$11, 100%, $F$11)</f>
        <v>16.8507</v>
      </c>
      <c r="G584" s="8">
        <f>15.7569 * CHOOSE( CONTROL!$C$15, $D$11, 100%, $F$11)</f>
        <v>15.7569</v>
      </c>
      <c r="H584" s="4">
        <f>16.709 * CHOOSE(CONTROL!$C$15, $D$11, 100%, $F$11)</f>
        <v>16.709</v>
      </c>
      <c r="I584" s="8">
        <f>15.5845 * CHOOSE(CONTROL!$C$15, $D$11, 100%, $F$11)</f>
        <v>15.5845</v>
      </c>
      <c r="J584" s="4">
        <f>15.4641 * CHOOSE(CONTROL!$C$15, $D$11, 100%, $F$11)</f>
        <v>15.4641</v>
      </c>
      <c r="K584" s="4"/>
      <c r="L584" s="9">
        <v>30.092199999999998</v>
      </c>
      <c r="M584" s="9">
        <v>11.6745</v>
      </c>
      <c r="N584" s="9">
        <v>4.7850000000000001</v>
      </c>
      <c r="O584" s="9">
        <v>0.36199999999999999</v>
      </c>
      <c r="P584" s="9">
        <v>1.1791</v>
      </c>
      <c r="Q584" s="9">
        <v>19.053000000000001</v>
      </c>
      <c r="R584" s="9"/>
      <c r="S584" s="11"/>
    </row>
    <row r="585" spans="1:19" ht="15.75">
      <c r="A585" s="13">
        <v>59322</v>
      </c>
      <c r="B585" s="8">
        <f>CHOOSE( CONTROL!$C$32, 16.5532, 16.5509) * CHOOSE(CONTROL!$C$15, $D$11, 100%, $F$11)</f>
        <v>16.5532</v>
      </c>
      <c r="C585" s="8">
        <f>CHOOSE( CONTROL!$C$32, 16.5638, 16.5615) * CHOOSE(CONTROL!$C$15, $D$11, 100%, $F$11)</f>
        <v>16.563800000000001</v>
      </c>
      <c r="D585" s="8">
        <f>CHOOSE( CONTROL!$C$32, 16.5976, 16.5953) * CHOOSE( CONTROL!$C$15, $D$11, 100%, $F$11)</f>
        <v>16.5976</v>
      </c>
      <c r="E585" s="12">
        <f>CHOOSE( CONTROL!$C$32, 16.5837, 16.5814) * CHOOSE( CONTROL!$C$15, $D$11, 100%, $F$11)</f>
        <v>16.5837</v>
      </c>
      <c r="F585" s="4">
        <f>CHOOSE( CONTROL!$C$32, 17.2822, 17.2799) * CHOOSE(CONTROL!$C$15, $D$11, 100%, $F$11)</f>
        <v>17.2822</v>
      </c>
      <c r="G585" s="8">
        <f>CHOOSE( CONTROL!$C$32, 16.1793, 16.177) * CHOOSE( CONTROL!$C$15, $D$11, 100%, $F$11)</f>
        <v>16.179300000000001</v>
      </c>
      <c r="H585" s="4">
        <f>CHOOSE( CONTROL!$C$32, 17.1309, 17.1286) * CHOOSE(CONTROL!$C$15, $D$11, 100%, $F$11)</f>
        <v>17.1309</v>
      </c>
      <c r="I585" s="8">
        <f>CHOOSE( CONTROL!$C$32, 15.999, 15.9968) * CHOOSE(CONTROL!$C$15, $D$11, 100%, $F$11)</f>
        <v>15.999000000000001</v>
      </c>
      <c r="J585" s="4">
        <f>CHOOSE( CONTROL!$C$32, 15.8784, 15.8762) * CHOOSE(CONTROL!$C$15, $D$11, 100%, $F$11)</f>
        <v>15.878399999999999</v>
      </c>
      <c r="K585" s="4"/>
      <c r="L585" s="9">
        <v>30.7165</v>
      </c>
      <c r="M585" s="9">
        <v>12.063700000000001</v>
      </c>
      <c r="N585" s="9">
        <v>4.9444999999999997</v>
      </c>
      <c r="O585" s="9">
        <v>0.37409999999999999</v>
      </c>
      <c r="P585" s="9">
        <v>1.2183999999999999</v>
      </c>
      <c r="Q585" s="9">
        <v>19.688099999999999</v>
      </c>
      <c r="R585" s="9"/>
      <c r="S585" s="11"/>
    </row>
    <row r="586" spans="1:19" ht="15.75">
      <c r="A586" s="13">
        <v>59352</v>
      </c>
      <c r="B586" s="8">
        <f>CHOOSE( CONTROL!$C$32, 16.2873, 16.285) * CHOOSE(CONTROL!$C$15, $D$11, 100%, $F$11)</f>
        <v>16.287299999999998</v>
      </c>
      <c r="C586" s="8">
        <f>CHOOSE( CONTROL!$C$32, 16.2979, 16.2956) * CHOOSE(CONTROL!$C$15, $D$11, 100%, $F$11)</f>
        <v>16.297899999999998</v>
      </c>
      <c r="D586" s="8">
        <f>CHOOSE( CONTROL!$C$32, 16.3319, 16.3296) * CHOOSE( CONTROL!$C$15, $D$11, 100%, $F$11)</f>
        <v>16.331900000000001</v>
      </c>
      <c r="E586" s="12">
        <f>CHOOSE( CONTROL!$C$32, 16.318, 16.3157) * CHOOSE( CONTROL!$C$15, $D$11, 100%, $F$11)</f>
        <v>16.318000000000001</v>
      </c>
      <c r="F586" s="4">
        <f>CHOOSE( CONTROL!$C$32, 17.0163, 17.014) * CHOOSE(CONTROL!$C$15, $D$11, 100%, $F$11)</f>
        <v>17.016300000000001</v>
      </c>
      <c r="G586" s="8">
        <f>CHOOSE( CONTROL!$C$32, 15.9196, 15.9173) * CHOOSE( CONTROL!$C$15, $D$11, 100%, $F$11)</f>
        <v>15.919600000000001</v>
      </c>
      <c r="H586" s="4">
        <f>CHOOSE( CONTROL!$C$32, 16.8709, 16.8687) * CHOOSE(CONTROL!$C$15, $D$11, 100%, $F$11)</f>
        <v>16.870899999999999</v>
      </c>
      <c r="I586" s="8">
        <f>CHOOSE( CONTROL!$C$32, 15.7444, 15.7422) * CHOOSE(CONTROL!$C$15, $D$11, 100%, $F$11)</f>
        <v>15.744400000000001</v>
      </c>
      <c r="J586" s="4">
        <f>CHOOSE( CONTROL!$C$32, 15.6232, 15.6209) * CHOOSE(CONTROL!$C$15, $D$11, 100%, $F$11)</f>
        <v>15.623200000000001</v>
      </c>
      <c r="K586" s="4"/>
      <c r="L586" s="9">
        <v>29.7257</v>
      </c>
      <c r="M586" s="9">
        <v>11.6745</v>
      </c>
      <c r="N586" s="9">
        <v>4.7850000000000001</v>
      </c>
      <c r="O586" s="9">
        <v>0.36199999999999999</v>
      </c>
      <c r="P586" s="9">
        <v>1.1791</v>
      </c>
      <c r="Q586" s="9">
        <v>19.053000000000001</v>
      </c>
      <c r="R586" s="9"/>
      <c r="S586" s="11"/>
    </row>
    <row r="587" spans="1:19" ht="15.75">
      <c r="A587" s="13">
        <v>59383</v>
      </c>
      <c r="B587" s="8">
        <f>CHOOSE( CONTROL!$C$32, 16.9875, 16.9852) * CHOOSE(CONTROL!$C$15, $D$11, 100%, $F$11)</f>
        <v>16.987500000000001</v>
      </c>
      <c r="C587" s="8">
        <f>CHOOSE( CONTROL!$C$32, 16.998, 16.9957) * CHOOSE(CONTROL!$C$15, $D$11, 100%, $F$11)</f>
        <v>16.998000000000001</v>
      </c>
      <c r="D587" s="8">
        <f>CHOOSE( CONTROL!$C$32, 17.0322, 17.0299) * CHOOSE( CONTROL!$C$15, $D$11, 100%, $F$11)</f>
        <v>17.0322</v>
      </c>
      <c r="E587" s="12">
        <f>CHOOSE( CONTROL!$C$32, 17.0182, 17.0159) * CHOOSE( CONTROL!$C$15, $D$11, 100%, $F$11)</f>
        <v>17.0182</v>
      </c>
      <c r="F587" s="4">
        <f>CHOOSE( CONTROL!$C$32, 17.7164, 17.7141) * CHOOSE(CONTROL!$C$15, $D$11, 100%, $F$11)</f>
        <v>17.7164</v>
      </c>
      <c r="G587" s="8">
        <f>CHOOSE( CONTROL!$C$32, 16.6044, 16.6022) * CHOOSE( CONTROL!$C$15, $D$11, 100%, $F$11)</f>
        <v>16.604399999999998</v>
      </c>
      <c r="H587" s="4">
        <f>CHOOSE( CONTROL!$C$32, 17.5554, 17.5532) * CHOOSE(CONTROL!$C$15, $D$11, 100%, $F$11)</f>
        <v>17.555399999999999</v>
      </c>
      <c r="I587" s="8">
        <f>CHOOSE( CONTROL!$C$32, 16.4179, 16.4157) * CHOOSE(CONTROL!$C$15, $D$11, 100%, $F$11)</f>
        <v>16.417899999999999</v>
      </c>
      <c r="J587" s="4">
        <f>CHOOSE( CONTROL!$C$32, 16.2953, 16.2931) * CHOOSE(CONTROL!$C$15, $D$11, 100%, $F$11)</f>
        <v>16.295300000000001</v>
      </c>
      <c r="K587" s="4"/>
      <c r="L587" s="9">
        <v>30.7165</v>
      </c>
      <c r="M587" s="9">
        <v>12.063700000000001</v>
      </c>
      <c r="N587" s="9">
        <v>4.9444999999999997</v>
      </c>
      <c r="O587" s="9">
        <v>0.37409999999999999</v>
      </c>
      <c r="P587" s="9">
        <v>1.2183999999999999</v>
      </c>
      <c r="Q587" s="9">
        <v>19.688099999999999</v>
      </c>
      <c r="R587" s="9"/>
      <c r="S587" s="11"/>
    </row>
    <row r="588" spans="1:19" ht="15.75">
      <c r="A588" s="13">
        <v>59414</v>
      </c>
      <c r="B588" s="8">
        <f>CHOOSE( CONTROL!$C$32, 15.6775, 15.6752) * CHOOSE(CONTROL!$C$15, $D$11, 100%, $F$11)</f>
        <v>15.6775</v>
      </c>
      <c r="C588" s="8">
        <f>CHOOSE( CONTROL!$C$32, 15.688, 15.6857) * CHOOSE(CONTROL!$C$15, $D$11, 100%, $F$11)</f>
        <v>15.688000000000001</v>
      </c>
      <c r="D588" s="8">
        <f>CHOOSE( CONTROL!$C$32, 15.7223, 15.72) * CHOOSE( CONTROL!$C$15, $D$11, 100%, $F$11)</f>
        <v>15.722300000000001</v>
      </c>
      <c r="E588" s="12">
        <f>CHOOSE( CONTROL!$C$32, 15.7083, 15.706) * CHOOSE( CONTROL!$C$15, $D$11, 100%, $F$11)</f>
        <v>15.708299999999999</v>
      </c>
      <c r="F588" s="4">
        <f>CHOOSE( CONTROL!$C$32, 16.4064, 16.4041) * CHOOSE(CONTROL!$C$15, $D$11, 100%, $F$11)</f>
        <v>16.406400000000001</v>
      </c>
      <c r="G588" s="8">
        <f>CHOOSE( CONTROL!$C$32, 15.3237, 15.3215) * CHOOSE( CONTROL!$C$15, $D$11, 100%, $F$11)</f>
        <v>15.323700000000001</v>
      </c>
      <c r="H588" s="4">
        <f>CHOOSE( CONTROL!$C$32, 16.2747, 16.2724) * CHOOSE(CONTROL!$C$15, $D$11, 100%, $F$11)</f>
        <v>16.274699999999999</v>
      </c>
      <c r="I588" s="8">
        <f>CHOOSE( CONTROL!$C$32, 15.1598, 15.1576) * CHOOSE(CONTROL!$C$15, $D$11, 100%, $F$11)</f>
        <v>15.159800000000001</v>
      </c>
      <c r="J588" s="4">
        <f>CHOOSE( CONTROL!$C$32, 15.0376, 15.0354) * CHOOSE(CONTROL!$C$15, $D$11, 100%, $F$11)</f>
        <v>15.037599999999999</v>
      </c>
      <c r="K588" s="4"/>
      <c r="L588" s="9">
        <v>30.7165</v>
      </c>
      <c r="M588" s="9">
        <v>12.063700000000001</v>
      </c>
      <c r="N588" s="9">
        <v>4.9444999999999997</v>
      </c>
      <c r="O588" s="9">
        <v>0.37409999999999999</v>
      </c>
      <c r="P588" s="9">
        <v>1.2183999999999999</v>
      </c>
      <c r="Q588" s="9">
        <v>19.688099999999999</v>
      </c>
      <c r="R588" s="9"/>
      <c r="S588" s="11"/>
    </row>
    <row r="589" spans="1:19" ht="15.75">
      <c r="A589" s="13">
        <v>59444</v>
      </c>
      <c r="B589" s="8">
        <f>CHOOSE( CONTROL!$C$32, 15.3494, 15.3471) * CHOOSE(CONTROL!$C$15, $D$11, 100%, $F$11)</f>
        <v>15.349399999999999</v>
      </c>
      <c r="C589" s="8">
        <f>CHOOSE( CONTROL!$C$32, 15.36, 15.3577) * CHOOSE(CONTROL!$C$15, $D$11, 100%, $F$11)</f>
        <v>15.36</v>
      </c>
      <c r="D589" s="8">
        <f>CHOOSE( CONTROL!$C$32, 15.3942, 15.3919) * CHOOSE( CONTROL!$C$15, $D$11, 100%, $F$11)</f>
        <v>15.3942</v>
      </c>
      <c r="E589" s="12">
        <f>CHOOSE( CONTROL!$C$32, 15.3802, 15.3779) * CHOOSE( CONTROL!$C$15, $D$11, 100%, $F$11)</f>
        <v>15.3802</v>
      </c>
      <c r="F589" s="4">
        <f>CHOOSE( CONTROL!$C$32, 16.0784, 16.0761) * CHOOSE(CONTROL!$C$15, $D$11, 100%, $F$11)</f>
        <v>16.078399999999998</v>
      </c>
      <c r="G589" s="8">
        <f>CHOOSE( CONTROL!$C$32, 15.003, 15.0007) * CHOOSE( CONTROL!$C$15, $D$11, 100%, $F$11)</f>
        <v>15.003</v>
      </c>
      <c r="H589" s="4">
        <f>CHOOSE( CONTROL!$C$32, 15.954, 15.9517) * CHOOSE(CONTROL!$C$15, $D$11, 100%, $F$11)</f>
        <v>15.954000000000001</v>
      </c>
      <c r="I589" s="8">
        <f>CHOOSE( CONTROL!$C$32, 14.8446, 14.8424) * CHOOSE(CONTROL!$C$15, $D$11, 100%, $F$11)</f>
        <v>14.8446</v>
      </c>
      <c r="J589" s="4">
        <f>CHOOSE( CONTROL!$C$32, 14.7227, 14.7205) * CHOOSE(CONTROL!$C$15, $D$11, 100%, $F$11)</f>
        <v>14.7227</v>
      </c>
      <c r="K589" s="4"/>
      <c r="L589" s="9">
        <v>29.7257</v>
      </c>
      <c r="M589" s="9">
        <v>11.6745</v>
      </c>
      <c r="N589" s="9">
        <v>4.7850000000000001</v>
      </c>
      <c r="O589" s="9">
        <v>0.36199999999999999</v>
      </c>
      <c r="P589" s="9">
        <v>1.1791</v>
      </c>
      <c r="Q589" s="9">
        <v>19.053000000000001</v>
      </c>
      <c r="R589" s="9"/>
      <c r="S589" s="11"/>
    </row>
    <row r="590" spans="1:19" ht="15.75">
      <c r="A590" s="13">
        <v>59475</v>
      </c>
      <c r="B590" s="8">
        <f>16.0284 * CHOOSE(CONTROL!$C$15, $D$11, 100%, $F$11)</f>
        <v>16.028400000000001</v>
      </c>
      <c r="C590" s="8">
        <f>16.0391 * CHOOSE(CONTROL!$C$15, $D$11, 100%, $F$11)</f>
        <v>16.039100000000001</v>
      </c>
      <c r="D590" s="8">
        <f>16.0745 * CHOOSE( CONTROL!$C$15, $D$11, 100%, $F$11)</f>
        <v>16.0745</v>
      </c>
      <c r="E590" s="12">
        <f>16.0617 * CHOOSE( CONTROL!$C$15, $D$11, 100%, $F$11)</f>
        <v>16.061699999999998</v>
      </c>
      <c r="F590" s="4">
        <f>16.7572 * CHOOSE(CONTROL!$C$15, $D$11, 100%, $F$11)</f>
        <v>16.757200000000001</v>
      </c>
      <c r="G590" s="8">
        <f>15.6665 * CHOOSE( CONTROL!$C$15, $D$11, 100%, $F$11)</f>
        <v>15.666499999999999</v>
      </c>
      <c r="H590" s="4">
        <f>16.6176 * CHOOSE(CONTROL!$C$15, $D$11, 100%, $F$11)</f>
        <v>16.617599999999999</v>
      </c>
      <c r="I590" s="8">
        <f>15.4975 * CHOOSE(CONTROL!$C$15, $D$11, 100%, $F$11)</f>
        <v>15.4975</v>
      </c>
      <c r="J590" s="4">
        <f>15.3744 * CHOOSE(CONTROL!$C$15, $D$11, 100%, $F$11)</f>
        <v>15.3744</v>
      </c>
      <c r="K590" s="4"/>
      <c r="L590" s="9">
        <v>31.095300000000002</v>
      </c>
      <c r="M590" s="9">
        <v>12.063700000000001</v>
      </c>
      <c r="N590" s="9">
        <v>4.9444999999999997</v>
      </c>
      <c r="O590" s="9">
        <v>0.37409999999999999</v>
      </c>
      <c r="P590" s="9">
        <v>1.2183999999999999</v>
      </c>
      <c r="Q590" s="9">
        <v>19.688099999999999</v>
      </c>
      <c r="R590" s="9"/>
      <c r="S590" s="11"/>
    </row>
    <row r="591" spans="1:19" ht="15.75">
      <c r="A591" s="13">
        <v>59505</v>
      </c>
      <c r="B591" s="8">
        <f>17.2856 * CHOOSE(CONTROL!$C$15, $D$11, 100%, $F$11)</f>
        <v>17.285599999999999</v>
      </c>
      <c r="C591" s="8">
        <f>17.2963 * CHOOSE(CONTROL!$C$15, $D$11, 100%, $F$11)</f>
        <v>17.296299999999999</v>
      </c>
      <c r="D591" s="8">
        <f>17.2724 * CHOOSE( CONTROL!$C$15, $D$11, 100%, $F$11)</f>
        <v>17.272400000000001</v>
      </c>
      <c r="E591" s="12">
        <f>17.28 * CHOOSE( CONTROL!$C$15, $D$11, 100%, $F$11)</f>
        <v>17.28</v>
      </c>
      <c r="F591" s="4">
        <f>17.9467 * CHOOSE(CONTROL!$C$15, $D$11, 100%, $F$11)</f>
        <v>17.9467</v>
      </c>
      <c r="G591" s="8">
        <f>16.8956 * CHOOSE( CONTROL!$C$15, $D$11, 100%, $F$11)</f>
        <v>16.895600000000002</v>
      </c>
      <c r="H591" s="4">
        <f>17.7806 * CHOOSE(CONTROL!$C$15, $D$11, 100%, $F$11)</f>
        <v>17.7806</v>
      </c>
      <c r="I591" s="8">
        <f>16.7485 * CHOOSE(CONTROL!$C$15, $D$11, 100%, $F$11)</f>
        <v>16.7485</v>
      </c>
      <c r="J591" s="4">
        <f>16.5814 * CHOOSE(CONTROL!$C$15, $D$11, 100%, $F$11)</f>
        <v>16.581399999999999</v>
      </c>
      <c r="K591" s="4"/>
      <c r="L591" s="9">
        <v>28.360600000000002</v>
      </c>
      <c r="M591" s="9">
        <v>11.6745</v>
      </c>
      <c r="N591" s="9">
        <v>4.7850000000000001</v>
      </c>
      <c r="O591" s="9">
        <v>0.36199999999999999</v>
      </c>
      <c r="P591" s="9">
        <v>1.2509999999999999</v>
      </c>
      <c r="Q591" s="9">
        <v>19.053000000000001</v>
      </c>
      <c r="R591" s="9"/>
      <c r="S591" s="11"/>
    </row>
    <row r="592" spans="1:19" ht="15.75">
      <c r="A592" s="13">
        <v>59536</v>
      </c>
      <c r="B592" s="8">
        <f>17.2542 * CHOOSE(CONTROL!$C$15, $D$11, 100%, $F$11)</f>
        <v>17.254200000000001</v>
      </c>
      <c r="C592" s="8">
        <f>17.2649 * CHOOSE(CONTROL!$C$15, $D$11, 100%, $F$11)</f>
        <v>17.264900000000001</v>
      </c>
      <c r="D592" s="8">
        <f>17.2427 * CHOOSE( CONTROL!$C$15, $D$11, 100%, $F$11)</f>
        <v>17.242699999999999</v>
      </c>
      <c r="E592" s="12">
        <f>17.2497 * CHOOSE( CONTROL!$C$15, $D$11, 100%, $F$11)</f>
        <v>17.249700000000001</v>
      </c>
      <c r="F592" s="4">
        <f>17.9153 * CHOOSE(CONTROL!$C$15, $D$11, 100%, $F$11)</f>
        <v>17.915299999999998</v>
      </c>
      <c r="G592" s="8">
        <f>16.8661 * CHOOSE( CONTROL!$C$15, $D$11, 100%, $F$11)</f>
        <v>16.866099999999999</v>
      </c>
      <c r="H592" s="4">
        <f>17.7499 * CHOOSE(CONTROL!$C$15, $D$11, 100%, $F$11)</f>
        <v>17.7499</v>
      </c>
      <c r="I592" s="8">
        <f>16.7235 * CHOOSE(CONTROL!$C$15, $D$11, 100%, $F$11)</f>
        <v>16.723500000000001</v>
      </c>
      <c r="J592" s="4">
        <f>16.5513 * CHOOSE(CONTROL!$C$15, $D$11, 100%, $F$11)</f>
        <v>16.551300000000001</v>
      </c>
      <c r="K592" s="4"/>
      <c r="L592" s="9">
        <v>29.306000000000001</v>
      </c>
      <c r="M592" s="9">
        <v>12.063700000000001</v>
      </c>
      <c r="N592" s="9">
        <v>4.9444999999999997</v>
      </c>
      <c r="O592" s="9">
        <v>0.37409999999999999</v>
      </c>
      <c r="P592" s="9">
        <v>1.2927</v>
      </c>
      <c r="Q592" s="9">
        <v>19.688099999999999</v>
      </c>
      <c r="R592" s="9"/>
      <c r="S592" s="11"/>
    </row>
    <row r="593" spans="1:19" ht="15.75">
      <c r="A593" s="13">
        <v>59567</v>
      </c>
      <c r="B593" s="8">
        <f>17.7627 * CHOOSE(CONTROL!$C$15, $D$11, 100%, $F$11)</f>
        <v>17.762699999999999</v>
      </c>
      <c r="C593" s="8">
        <f>17.7734 * CHOOSE(CONTROL!$C$15, $D$11, 100%, $F$11)</f>
        <v>17.773399999999999</v>
      </c>
      <c r="D593" s="8">
        <f>17.755 * CHOOSE( CONTROL!$C$15, $D$11, 100%, $F$11)</f>
        <v>17.754999999999999</v>
      </c>
      <c r="E593" s="12">
        <f>17.7606 * CHOOSE( CONTROL!$C$15, $D$11, 100%, $F$11)</f>
        <v>17.7606</v>
      </c>
      <c r="F593" s="4">
        <f>18.4238 * CHOOSE(CONTROL!$C$15, $D$11, 100%, $F$11)</f>
        <v>18.4238</v>
      </c>
      <c r="G593" s="8">
        <f>17.3589 * CHOOSE( CONTROL!$C$15, $D$11, 100%, $F$11)</f>
        <v>17.358899999999998</v>
      </c>
      <c r="H593" s="4">
        <f>18.247 * CHOOSE(CONTROL!$C$15, $D$11, 100%, $F$11)</f>
        <v>18.247</v>
      </c>
      <c r="I593" s="8">
        <f>17.1674 * CHOOSE(CONTROL!$C$15, $D$11, 100%, $F$11)</f>
        <v>17.167400000000001</v>
      </c>
      <c r="J593" s="4">
        <f>17.0395 * CHOOSE(CONTROL!$C$15, $D$11, 100%, $F$11)</f>
        <v>17.0395</v>
      </c>
      <c r="K593" s="4"/>
      <c r="L593" s="9">
        <v>29.306000000000001</v>
      </c>
      <c r="M593" s="9">
        <v>12.063700000000001</v>
      </c>
      <c r="N593" s="9">
        <v>4.9444999999999997</v>
      </c>
      <c r="O593" s="9">
        <v>0.37409999999999999</v>
      </c>
      <c r="P593" s="9">
        <v>1.2927</v>
      </c>
      <c r="Q593" s="9">
        <v>19.688099999999999</v>
      </c>
      <c r="R593" s="9"/>
      <c r="S593" s="11"/>
    </row>
    <row r="594" spans="1:19" ht="15.75">
      <c r="A594" s="13">
        <v>59595</v>
      </c>
      <c r="B594" s="8">
        <f>16.6153 * CHOOSE(CONTROL!$C$15, $D$11, 100%, $F$11)</f>
        <v>16.615300000000001</v>
      </c>
      <c r="C594" s="8">
        <f>16.6261 * CHOOSE(CONTROL!$C$15, $D$11, 100%, $F$11)</f>
        <v>16.626100000000001</v>
      </c>
      <c r="D594" s="8">
        <f>16.6075 * CHOOSE( CONTROL!$C$15, $D$11, 100%, $F$11)</f>
        <v>16.607500000000002</v>
      </c>
      <c r="E594" s="12">
        <f>16.6132 * CHOOSE( CONTROL!$C$15, $D$11, 100%, $F$11)</f>
        <v>16.613199999999999</v>
      </c>
      <c r="F594" s="4">
        <f>17.2764 * CHOOSE(CONTROL!$C$15, $D$11, 100%, $F$11)</f>
        <v>17.276399999999999</v>
      </c>
      <c r="G594" s="8">
        <f>16.237 * CHOOSE( CONTROL!$C$15, $D$11, 100%, $F$11)</f>
        <v>16.236999999999998</v>
      </c>
      <c r="H594" s="4">
        <f>17.1253 * CHOOSE(CONTROL!$C$15, $D$11, 100%, $F$11)</f>
        <v>17.125299999999999</v>
      </c>
      <c r="I594" s="8">
        <f>16.0647 * CHOOSE(CONTROL!$C$15, $D$11, 100%, $F$11)</f>
        <v>16.064699999999998</v>
      </c>
      <c r="J594" s="4">
        <f>15.9379 * CHOOSE(CONTROL!$C$15, $D$11, 100%, $F$11)</f>
        <v>15.937900000000001</v>
      </c>
      <c r="K594" s="4"/>
      <c r="L594" s="9">
        <v>26.469899999999999</v>
      </c>
      <c r="M594" s="9">
        <v>10.8962</v>
      </c>
      <c r="N594" s="9">
        <v>4.4660000000000002</v>
      </c>
      <c r="O594" s="9">
        <v>0.33789999999999998</v>
      </c>
      <c r="P594" s="9">
        <v>1.1676</v>
      </c>
      <c r="Q594" s="9">
        <v>17.782800000000002</v>
      </c>
      <c r="R594" s="9"/>
      <c r="S594" s="11"/>
    </row>
    <row r="595" spans="1:19" ht="15.75">
      <c r="A595" s="13">
        <v>59626</v>
      </c>
      <c r="B595" s="8">
        <f>16.2619 * CHOOSE(CONTROL!$C$15, $D$11, 100%, $F$11)</f>
        <v>16.261900000000001</v>
      </c>
      <c r="C595" s="8">
        <f>16.2727 * CHOOSE(CONTROL!$C$15, $D$11, 100%, $F$11)</f>
        <v>16.2727</v>
      </c>
      <c r="D595" s="8">
        <f>16.2536 * CHOOSE( CONTROL!$C$15, $D$11, 100%, $F$11)</f>
        <v>16.253599999999999</v>
      </c>
      <c r="E595" s="12">
        <f>16.2594 * CHOOSE( CONTROL!$C$15, $D$11, 100%, $F$11)</f>
        <v>16.259399999999999</v>
      </c>
      <c r="F595" s="4">
        <f>16.923 * CHOOSE(CONTROL!$C$15, $D$11, 100%, $F$11)</f>
        <v>16.922999999999998</v>
      </c>
      <c r="G595" s="8">
        <f>15.8911 * CHOOSE( CONTROL!$C$15, $D$11, 100%, $F$11)</f>
        <v>15.8911</v>
      </c>
      <c r="H595" s="4">
        <f>16.7798 * CHOOSE(CONTROL!$C$15, $D$11, 100%, $F$11)</f>
        <v>16.779800000000002</v>
      </c>
      <c r="I595" s="8">
        <f>15.7238 * CHOOSE(CONTROL!$C$15, $D$11, 100%, $F$11)</f>
        <v>15.723800000000001</v>
      </c>
      <c r="J595" s="4">
        <f>15.5986 * CHOOSE(CONTROL!$C$15, $D$11, 100%, $F$11)</f>
        <v>15.598599999999999</v>
      </c>
      <c r="K595" s="4"/>
      <c r="L595" s="9">
        <v>29.306000000000001</v>
      </c>
      <c r="M595" s="9">
        <v>12.063700000000001</v>
      </c>
      <c r="N595" s="9">
        <v>4.9444999999999997</v>
      </c>
      <c r="O595" s="9">
        <v>0.37409999999999999</v>
      </c>
      <c r="P595" s="9">
        <v>1.2927</v>
      </c>
      <c r="Q595" s="9">
        <v>19.688099999999999</v>
      </c>
      <c r="R595" s="9"/>
      <c r="S595" s="11"/>
    </row>
    <row r="596" spans="1:19" ht="15.75">
      <c r="A596" s="13">
        <v>59656</v>
      </c>
      <c r="B596" s="8">
        <f>16.5088 * CHOOSE(CONTROL!$C$15, $D$11, 100%, $F$11)</f>
        <v>16.508800000000001</v>
      </c>
      <c r="C596" s="8">
        <f>16.5196 * CHOOSE(CONTROL!$C$15, $D$11, 100%, $F$11)</f>
        <v>16.519600000000001</v>
      </c>
      <c r="D596" s="8">
        <f>16.5544 * CHOOSE( CONTROL!$C$15, $D$11, 100%, $F$11)</f>
        <v>16.554400000000001</v>
      </c>
      <c r="E596" s="12">
        <f>16.5417 * CHOOSE( CONTROL!$C$15, $D$11, 100%, $F$11)</f>
        <v>16.541699999999999</v>
      </c>
      <c r="F596" s="4">
        <f>17.2377 * CHOOSE(CONTROL!$C$15, $D$11, 100%, $F$11)</f>
        <v>17.2377</v>
      </c>
      <c r="G596" s="8">
        <f>16.1353 * CHOOSE( CONTROL!$C$15, $D$11, 100%, $F$11)</f>
        <v>16.135300000000001</v>
      </c>
      <c r="H596" s="4">
        <f>17.0874 * CHOOSE(CONTROL!$C$15, $D$11, 100%, $F$11)</f>
        <v>17.087399999999999</v>
      </c>
      <c r="I596" s="8">
        <f>15.9562 * CHOOSE(CONTROL!$C$15, $D$11, 100%, $F$11)</f>
        <v>15.956200000000001</v>
      </c>
      <c r="J596" s="4">
        <f>15.8357 * CHOOSE(CONTROL!$C$15, $D$11, 100%, $F$11)</f>
        <v>15.835699999999999</v>
      </c>
      <c r="K596" s="4"/>
      <c r="L596" s="9">
        <v>30.092199999999998</v>
      </c>
      <c r="M596" s="9">
        <v>11.6745</v>
      </c>
      <c r="N596" s="9">
        <v>4.7850000000000001</v>
      </c>
      <c r="O596" s="9">
        <v>0.36199999999999999</v>
      </c>
      <c r="P596" s="9">
        <v>1.1791</v>
      </c>
      <c r="Q596" s="9">
        <v>19.053000000000001</v>
      </c>
      <c r="R596" s="9"/>
      <c r="S596" s="11"/>
    </row>
    <row r="597" spans="1:19" ht="15.75">
      <c r="A597" s="13">
        <v>59687</v>
      </c>
      <c r="B597" s="8">
        <f>CHOOSE( CONTROL!$C$32, 16.9505, 16.9482) * CHOOSE(CONTROL!$C$15, $D$11, 100%, $F$11)</f>
        <v>16.950500000000002</v>
      </c>
      <c r="C597" s="8">
        <f>CHOOSE( CONTROL!$C$32, 16.9611, 16.9588) * CHOOSE(CONTROL!$C$15, $D$11, 100%, $F$11)</f>
        <v>16.961099999999998</v>
      </c>
      <c r="D597" s="8">
        <f>CHOOSE( CONTROL!$C$32, 16.9949, 16.9926) * CHOOSE( CONTROL!$C$15, $D$11, 100%, $F$11)</f>
        <v>16.994900000000001</v>
      </c>
      <c r="E597" s="12">
        <f>CHOOSE( CONTROL!$C$32, 16.981, 16.9787) * CHOOSE( CONTROL!$C$15, $D$11, 100%, $F$11)</f>
        <v>16.981000000000002</v>
      </c>
      <c r="F597" s="4">
        <f>CHOOSE( CONTROL!$C$32, 17.6795, 17.6772) * CHOOSE(CONTROL!$C$15, $D$11, 100%, $F$11)</f>
        <v>17.679500000000001</v>
      </c>
      <c r="G597" s="8">
        <f>CHOOSE( CONTROL!$C$32, 16.5677, 16.5655) * CHOOSE( CONTROL!$C$15, $D$11, 100%, $F$11)</f>
        <v>16.567699999999999</v>
      </c>
      <c r="H597" s="4">
        <f>CHOOSE( CONTROL!$C$32, 17.5193, 17.5171) * CHOOSE(CONTROL!$C$15, $D$11, 100%, $F$11)</f>
        <v>17.519300000000001</v>
      </c>
      <c r="I597" s="8">
        <f>CHOOSE( CONTROL!$C$32, 16.3807, 16.3785) * CHOOSE(CONTROL!$C$15, $D$11, 100%, $F$11)</f>
        <v>16.380700000000001</v>
      </c>
      <c r="J597" s="4">
        <f>CHOOSE( CONTROL!$C$32, 16.2599, 16.2577) * CHOOSE(CONTROL!$C$15, $D$11, 100%, $F$11)</f>
        <v>16.259899999999998</v>
      </c>
      <c r="K597" s="4"/>
      <c r="L597" s="9">
        <v>30.7165</v>
      </c>
      <c r="M597" s="9">
        <v>12.063700000000001</v>
      </c>
      <c r="N597" s="9">
        <v>4.9444999999999997</v>
      </c>
      <c r="O597" s="9">
        <v>0.37409999999999999</v>
      </c>
      <c r="P597" s="9">
        <v>1.2183999999999999</v>
      </c>
      <c r="Q597" s="9">
        <v>19.688099999999999</v>
      </c>
      <c r="R597" s="9"/>
      <c r="S597" s="11"/>
    </row>
    <row r="598" spans="1:19" ht="15.75">
      <c r="A598" s="13">
        <v>59717</v>
      </c>
      <c r="B598" s="8">
        <f>CHOOSE( CONTROL!$C$32, 16.6783, 16.676) * CHOOSE(CONTROL!$C$15, $D$11, 100%, $F$11)</f>
        <v>16.6783</v>
      </c>
      <c r="C598" s="8">
        <f>CHOOSE( CONTROL!$C$32, 16.6888, 16.6865) * CHOOSE(CONTROL!$C$15, $D$11, 100%, $F$11)</f>
        <v>16.688800000000001</v>
      </c>
      <c r="D598" s="8">
        <f>CHOOSE( CONTROL!$C$32, 16.7228, 16.7205) * CHOOSE( CONTROL!$C$15, $D$11, 100%, $F$11)</f>
        <v>16.722799999999999</v>
      </c>
      <c r="E598" s="12">
        <f>CHOOSE( CONTROL!$C$32, 16.7089, 16.7066) * CHOOSE( CONTROL!$C$15, $D$11, 100%, $F$11)</f>
        <v>16.7089</v>
      </c>
      <c r="F598" s="4">
        <f>CHOOSE( CONTROL!$C$32, 17.4072, 17.4049) * CHOOSE(CONTROL!$C$15, $D$11, 100%, $F$11)</f>
        <v>17.4072</v>
      </c>
      <c r="G598" s="8">
        <f>CHOOSE( CONTROL!$C$32, 16.3018, 16.2996) * CHOOSE( CONTROL!$C$15, $D$11, 100%, $F$11)</f>
        <v>16.3018</v>
      </c>
      <c r="H598" s="4">
        <f>CHOOSE( CONTROL!$C$32, 17.2532, 17.2509) * CHOOSE(CONTROL!$C$15, $D$11, 100%, $F$11)</f>
        <v>17.2532</v>
      </c>
      <c r="I598" s="8">
        <f>CHOOSE( CONTROL!$C$32, 16.1199, 16.1177) * CHOOSE(CONTROL!$C$15, $D$11, 100%, $F$11)</f>
        <v>16.119900000000001</v>
      </c>
      <c r="J598" s="4">
        <f>CHOOSE( CONTROL!$C$32, 15.9985, 15.9963) * CHOOSE(CONTROL!$C$15, $D$11, 100%, $F$11)</f>
        <v>15.9985</v>
      </c>
      <c r="K598" s="4"/>
      <c r="L598" s="9">
        <v>29.7257</v>
      </c>
      <c r="M598" s="9">
        <v>11.6745</v>
      </c>
      <c r="N598" s="9">
        <v>4.7850000000000001</v>
      </c>
      <c r="O598" s="9">
        <v>0.36199999999999999</v>
      </c>
      <c r="P598" s="9">
        <v>1.1791</v>
      </c>
      <c r="Q598" s="9">
        <v>19.053000000000001</v>
      </c>
      <c r="R598" s="9"/>
      <c r="S598" s="11"/>
    </row>
    <row r="599" spans="1:19" ht="15.75">
      <c r="A599" s="13">
        <v>59748</v>
      </c>
      <c r="B599" s="8">
        <f>CHOOSE( CONTROL!$C$32, 17.3952, 17.3929) * CHOOSE(CONTROL!$C$15, $D$11, 100%, $F$11)</f>
        <v>17.395199999999999</v>
      </c>
      <c r="C599" s="8">
        <f>CHOOSE( CONTROL!$C$32, 17.4058, 17.4035) * CHOOSE(CONTROL!$C$15, $D$11, 100%, $F$11)</f>
        <v>17.405799999999999</v>
      </c>
      <c r="D599" s="8">
        <f>CHOOSE( CONTROL!$C$32, 17.44, 17.4377) * CHOOSE( CONTROL!$C$15, $D$11, 100%, $F$11)</f>
        <v>17.440000000000001</v>
      </c>
      <c r="E599" s="12">
        <f>CHOOSE( CONTROL!$C$32, 17.426, 17.4237) * CHOOSE( CONTROL!$C$15, $D$11, 100%, $F$11)</f>
        <v>17.425999999999998</v>
      </c>
      <c r="F599" s="4">
        <f>CHOOSE( CONTROL!$C$32, 18.1242, 18.1219) * CHOOSE(CONTROL!$C$15, $D$11, 100%, $F$11)</f>
        <v>18.124199999999998</v>
      </c>
      <c r="G599" s="8">
        <f>CHOOSE( CONTROL!$C$32, 17.0031, 17.0008) * CHOOSE( CONTROL!$C$15, $D$11, 100%, $F$11)</f>
        <v>17.0031</v>
      </c>
      <c r="H599" s="4">
        <f>CHOOSE( CONTROL!$C$32, 17.9541, 17.9518) * CHOOSE(CONTROL!$C$15, $D$11, 100%, $F$11)</f>
        <v>17.9541</v>
      </c>
      <c r="I599" s="8">
        <f>CHOOSE( CONTROL!$C$32, 16.8096, 16.8074) * CHOOSE(CONTROL!$C$15, $D$11, 100%, $F$11)</f>
        <v>16.8096</v>
      </c>
      <c r="J599" s="4">
        <f>CHOOSE( CONTROL!$C$32, 16.6868, 16.6846) * CHOOSE(CONTROL!$C$15, $D$11, 100%, $F$11)</f>
        <v>16.686800000000002</v>
      </c>
      <c r="K599" s="4"/>
      <c r="L599" s="9">
        <v>30.7165</v>
      </c>
      <c r="M599" s="9">
        <v>12.063700000000001</v>
      </c>
      <c r="N599" s="9">
        <v>4.9444999999999997</v>
      </c>
      <c r="O599" s="9">
        <v>0.37409999999999999</v>
      </c>
      <c r="P599" s="9">
        <v>1.2183999999999999</v>
      </c>
      <c r="Q599" s="9">
        <v>19.688099999999999</v>
      </c>
      <c r="R599" s="9"/>
      <c r="S599" s="11"/>
    </row>
    <row r="600" spans="1:19" ht="15.75">
      <c r="A600" s="13">
        <v>59779</v>
      </c>
      <c r="B600" s="8">
        <f>CHOOSE( CONTROL!$C$32, 16.0538, 16.0515) * CHOOSE(CONTROL!$C$15, $D$11, 100%, $F$11)</f>
        <v>16.053799999999999</v>
      </c>
      <c r="C600" s="8">
        <f>CHOOSE( CONTROL!$C$32, 16.0643, 16.062) * CHOOSE(CONTROL!$C$15, $D$11, 100%, $F$11)</f>
        <v>16.064299999999999</v>
      </c>
      <c r="D600" s="8">
        <f>CHOOSE( CONTROL!$C$32, 16.0986, 16.0963) * CHOOSE( CONTROL!$C$15, $D$11, 100%, $F$11)</f>
        <v>16.098600000000001</v>
      </c>
      <c r="E600" s="12">
        <f>CHOOSE( CONTROL!$C$32, 16.0846, 16.0823) * CHOOSE( CONTROL!$C$15, $D$11, 100%, $F$11)</f>
        <v>16.084599999999998</v>
      </c>
      <c r="F600" s="4">
        <f>CHOOSE( CONTROL!$C$32, 16.7827, 16.7804) * CHOOSE(CONTROL!$C$15, $D$11, 100%, $F$11)</f>
        <v>16.782699999999998</v>
      </c>
      <c r="G600" s="8">
        <f>CHOOSE( CONTROL!$C$32, 15.6916, 15.6894) * CHOOSE( CONTROL!$C$15, $D$11, 100%, $F$11)</f>
        <v>15.691599999999999</v>
      </c>
      <c r="H600" s="4">
        <f>CHOOSE( CONTROL!$C$32, 16.6426, 16.6403) * CHOOSE(CONTROL!$C$15, $D$11, 100%, $F$11)</f>
        <v>16.642600000000002</v>
      </c>
      <c r="I600" s="8">
        <f>CHOOSE( CONTROL!$C$32, 15.5213, 15.5191) * CHOOSE(CONTROL!$C$15, $D$11, 100%, $F$11)</f>
        <v>15.5213</v>
      </c>
      <c r="J600" s="4">
        <f>CHOOSE( CONTROL!$C$32, 15.3989, 15.3967) * CHOOSE(CONTROL!$C$15, $D$11, 100%, $F$11)</f>
        <v>15.398899999999999</v>
      </c>
      <c r="K600" s="4"/>
      <c r="L600" s="9">
        <v>30.7165</v>
      </c>
      <c r="M600" s="9">
        <v>12.063700000000001</v>
      </c>
      <c r="N600" s="9">
        <v>4.9444999999999997</v>
      </c>
      <c r="O600" s="9">
        <v>0.37409999999999999</v>
      </c>
      <c r="P600" s="9">
        <v>1.2183999999999999</v>
      </c>
      <c r="Q600" s="9">
        <v>19.688099999999999</v>
      </c>
      <c r="R600" s="9"/>
      <c r="S600" s="11"/>
    </row>
    <row r="601" spans="1:19" ht="15.75">
      <c r="A601" s="13">
        <v>59809</v>
      </c>
      <c r="B601" s="8">
        <f>CHOOSE( CONTROL!$C$32, 15.7178, 15.7155) * CHOOSE(CONTROL!$C$15, $D$11, 100%, $F$11)</f>
        <v>15.7178</v>
      </c>
      <c r="C601" s="8">
        <f>CHOOSE( CONTROL!$C$32, 15.7284, 15.7261) * CHOOSE(CONTROL!$C$15, $D$11, 100%, $F$11)</f>
        <v>15.728400000000001</v>
      </c>
      <c r="D601" s="8">
        <f>CHOOSE( CONTROL!$C$32, 15.7626, 15.7603) * CHOOSE( CONTROL!$C$15, $D$11, 100%, $F$11)</f>
        <v>15.762600000000001</v>
      </c>
      <c r="E601" s="12">
        <f>CHOOSE( CONTROL!$C$32, 15.7486, 15.7463) * CHOOSE( CONTROL!$C$15, $D$11, 100%, $F$11)</f>
        <v>15.7486</v>
      </c>
      <c r="F601" s="4">
        <f>CHOOSE( CONTROL!$C$32, 16.4468, 16.4445) * CHOOSE(CONTROL!$C$15, $D$11, 100%, $F$11)</f>
        <v>16.4468</v>
      </c>
      <c r="G601" s="8">
        <f>CHOOSE( CONTROL!$C$32, 15.3632, 15.3609) * CHOOSE( CONTROL!$C$15, $D$11, 100%, $F$11)</f>
        <v>15.363200000000001</v>
      </c>
      <c r="H601" s="4">
        <f>CHOOSE( CONTROL!$C$32, 16.3141, 16.3119) * CHOOSE(CONTROL!$C$15, $D$11, 100%, $F$11)</f>
        <v>16.3141</v>
      </c>
      <c r="I601" s="8">
        <f>CHOOSE( CONTROL!$C$32, 15.1985, 15.1963) * CHOOSE(CONTROL!$C$15, $D$11, 100%, $F$11)</f>
        <v>15.198499999999999</v>
      </c>
      <c r="J601" s="4">
        <f>CHOOSE( CONTROL!$C$32, 15.0764, 15.0742) * CHOOSE(CONTROL!$C$15, $D$11, 100%, $F$11)</f>
        <v>15.0764</v>
      </c>
      <c r="K601" s="4"/>
      <c r="L601" s="9">
        <v>29.7257</v>
      </c>
      <c r="M601" s="9">
        <v>11.6745</v>
      </c>
      <c r="N601" s="9">
        <v>4.7850000000000001</v>
      </c>
      <c r="O601" s="9">
        <v>0.36199999999999999</v>
      </c>
      <c r="P601" s="9">
        <v>1.1791</v>
      </c>
      <c r="Q601" s="9">
        <v>19.053000000000001</v>
      </c>
      <c r="R601" s="9"/>
      <c r="S601" s="11"/>
    </row>
    <row r="602" spans="1:19" ht="15.75">
      <c r="A602" s="13">
        <v>59840</v>
      </c>
      <c r="B602" s="8">
        <f>16.4131 * CHOOSE(CONTROL!$C$15, $D$11, 100%, $F$11)</f>
        <v>16.4131</v>
      </c>
      <c r="C602" s="8">
        <f>16.4239 * CHOOSE(CONTROL!$C$15, $D$11, 100%, $F$11)</f>
        <v>16.4239</v>
      </c>
      <c r="D602" s="8">
        <f>16.4593 * CHOOSE( CONTROL!$C$15, $D$11, 100%, $F$11)</f>
        <v>16.459299999999999</v>
      </c>
      <c r="E602" s="12">
        <f>16.4465 * CHOOSE( CONTROL!$C$15, $D$11, 100%, $F$11)</f>
        <v>16.4465</v>
      </c>
      <c r="F602" s="4">
        <f>17.142 * CHOOSE(CONTROL!$C$15, $D$11, 100%, $F$11)</f>
        <v>17.141999999999999</v>
      </c>
      <c r="G602" s="8">
        <f>16.0426 * CHOOSE( CONTROL!$C$15, $D$11, 100%, $F$11)</f>
        <v>16.0426</v>
      </c>
      <c r="H602" s="4">
        <f>16.9938 * CHOOSE(CONTROL!$C$15, $D$11, 100%, $F$11)</f>
        <v>16.9938</v>
      </c>
      <c r="I602" s="8">
        <f>15.8671 * CHOOSE(CONTROL!$C$15, $D$11, 100%, $F$11)</f>
        <v>15.867100000000001</v>
      </c>
      <c r="J602" s="4">
        <f>15.7438 * CHOOSE(CONTROL!$C$15, $D$11, 100%, $F$11)</f>
        <v>15.7438</v>
      </c>
      <c r="K602" s="4"/>
      <c r="L602" s="9">
        <v>31.095300000000002</v>
      </c>
      <c r="M602" s="9">
        <v>12.063700000000001</v>
      </c>
      <c r="N602" s="9">
        <v>4.9444999999999997</v>
      </c>
      <c r="O602" s="9">
        <v>0.37409999999999999</v>
      </c>
      <c r="P602" s="9">
        <v>1.2183999999999999</v>
      </c>
      <c r="Q602" s="9">
        <v>19.688099999999999</v>
      </c>
      <c r="R602" s="9"/>
      <c r="S602" s="11"/>
    </row>
    <row r="603" spans="1:19" ht="15.75">
      <c r="A603" s="13">
        <v>59870</v>
      </c>
      <c r="B603" s="8">
        <f>17.7006 * CHOOSE(CONTROL!$C$15, $D$11, 100%, $F$11)</f>
        <v>17.700600000000001</v>
      </c>
      <c r="C603" s="8">
        <f>17.7113 * CHOOSE(CONTROL!$C$15, $D$11, 100%, $F$11)</f>
        <v>17.711300000000001</v>
      </c>
      <c r="D603" s="8">
        <f>17.6874 * CHOOSE( CONTROL!$C$15, $D$11, 100%, $F$11)</f>
        <v>17.6874</v>
      </c>
      <c r="E603" s="12">
        <f>17.695 * CHOOSE( CONTROL!$C$15, $D$11, 100%, $F$11)</f>
        <v>17.695</v>
      </c>
      <c r="F603" s="4">
        <f>18.3617 * CHOOSE(CONTROL!$C$15, $D$11, 100%, $F$11)</f>
        <v>18.361699999999999</v>
      </c>
      <c r="G603" s="8">
        <f>17.3013 * CHOOSE( CONTROL!$C$15, $D$11, 100%, $F$11)</f>
        <v>17.301300000000001</v>
      </c>
      <c r="H603" s="4">
        <f>18.1863 * CHOOSE(CONTROL!$C$15, $D$11, 100%, $F$11)</f>
        <v>18.186299999999999</v>
      </c>
      <c r="I603" s="8">
        <f>17.1471 * CHOOSE(CONTROL!$C$15, $D$11, 100%, $F$11)</f>
        <v>17.147099999999998</v>
      </c>
      <c r="J603" s="4">
        <f>16.9798 * CHOOSE(CONTROL!$C$15, $D$11, 100%, $F$11)</f>
        <v>16.979800000000001</v>
      </c>
      <c r="K603" s="4"/>
      <c r="L603" s="9">
        <v>28.360600000000002</v>
      </c>
      <c r="M603" s="9">
        <v>11.6745</v>
      </c>
      <c r="N603" s="9">
        <v>4.7850000000000001</v>
      </c>
      <c r="O603" s="9">
        <v>0.36199999999999999</v>
      </c>
      <c r="P603" s="9">
        <v>1.2509999999999999</v>
      </c>
      <c r="Q603" s="9">
        <v>19.053000000000001</v>
      </c>
      <c r="R603" s="9"/>
      <c r="S603" s="11"/>
    </row>
    <row r="604" spans="1:19" ht="15.75">
      <c r="A604" s="13">
        <v>59901</v>
      </c>
      <c r="B604" s="8">
        <f>17.6684 * CHOOSE(CONTROL!$C$15, $D$11, 100%, $F$11)</f>
        <v>17.668399999999998</v>
      </c>
      <c r="C604" s="8">
        <f>17.6791 * CHOOSE(CONTROL!$C$15, $D$11, 100%, $F$11)</f>
        <v>17.679099999999998</v>
      </c>
      <c r="D604" s="8">
        <f>17.6569 * CHOOSE( CONTROL!$C$15, $D$11, 100%, $F$11)</f>
        <v>17.6569</v>
      </c>
      <c r="E604" s="12">
        <f>17.6639 * CHOOSE( CONTROL!$C$15, $D$11, 100%, $F$11)</f>
        <v>17.663900000000002</v>
      </c>
      <c r="F604" s="4">
        <f>18.3295 * CHOOSE(CONTROL!$C$15, $D$11, 100%, $F$11)</f>
        <v>18.329499999999999</v>
      </c>
      <c r="G604" s="8">
        <f>17.2711 * CHOOSE( CONTROL!$C$15, $D$11, 100%, $F$11)</f>
        <v>17.271100000000001</v>
      </c>
      <c r="H604" s="4">
        <f>18.1549 * CHOOSE(CONTROL!$C$15, $D$11, 100%, $F$11)</f>
        <v>18.154900000000001</v>
      </c>
      <c r="I604" s="8">
        <f>17.1214 * CHOOSE(CONTROL!$C$15, $D$11, 100%, $F$11)</f>
        <v>17.121400000000001</v>
      </c>
      <c r="J604" s="4">
        <f>16.949 * CHOOSE(CONTROL!$C$15, $D$11, 100%, $F$11)</f>
        <v>16.949000000000002</v>
      </c>
      <c r="K604" s="4"/>
      <c r="L604" s="9">
        <v>29.306000000000001</v>
      </c>
      <c r="M604" s="9">
        <v>12.063700000000001</v>
      </c>
      <c r="N604" s="9">
        <v>4.9444999999999997</v>
      </c>
      <c r="O604" s="9">
        <v>0.37409999999999999</v>
      </c>
      <c r="P604" s="9">
        <v>1.2927</v>
      </c>
      <c r="Q604" s="9">
        <v>19.688099999999999</v>
      </c>
      <c r="R604" s="9"/>
      <c r="S604" s="11"/>
    </row>
    <row r="605" spans="1:19" ht="15.75">
      <c r="A605" s="13">
        <v>59932</v>
      </c>
      <c r="B605" s="8">
        <f>18.1891 * CHOOSE(CONTROL!$C$15, $D$11, 100%, $F$11)</f>
        <v>18.1891</v>
      </c>
      <c r="C605" s="8">
        <f>18.1999 * CHOOSE(CONTROL!$C$15, $D$11, 100%, $F$11)</f>
        <v>18.1999</v>
      </c>
      <c r="D605" s="8">
        <f>18.1815 * CHOOSE( CONTROL!$C$15, $D$11, 100%, $F$11)</f>
        <v>18.1815</v>
      </c>
      <c r="E605" s="12">
        <f>18.1871 * CHOOSE( CONTROL!$C$15, $D$11, 100%, $F$11)</f>
        <v>18.187100000000001</v>
      </c>
      <c r="F605" s="4">
        <f>18.8502 * CHOOSE(CONTROL!$C$15, $D$11, 100%, $F$11)</f>
        <v>18.850200000000001</v>
      </c>
      <c r="G605" s="8">
        <f>17.7758 * CHOOSE( CONTROL!$C$15, $D$11, 100%, $F$11)</f>
        <v>17.7758</v>
      </c>
      <c r="H605" s="4">
        <f>18.664 * CHOOSE(CONTROL!$C$15, $D$11, 100%, $F$11)</f>
        <v>18.664000000000001</v>
      </c>
      <c r="I605" s="8">
        <f>17.577 * CHOOSE(CONTROL!$C$15, $D$11, 100%, $F$11)</f>
        <v>17.577000000000002</v>
      </c>
      <c r="J605" s="4">
        <f>17.4489 * CHOOSE(CONTROL!$C$15, $D$11, 100%, $F$11)</f>
        <v>17.448899999999998</v>
      </c>
      <c r="K605" s="4"/>
      <c r="L605" s="9">
        <v>29.306000000000001</v>
      </c>
      <c r="M605" s="9">
        <v>12.063700000000001</v>
      </c>
      <c r="N605" s="9">
        <v>4.9444999999999997</v>
      </c>
      <c r="O605" s="9">
        <v>0.37409999999999999</v>
      </c>
      <c r="P605" s="9">
        <v>1.2927</v>
      </c>
      <c r="Q605" s="9">
        <v>19.688099999999999</v>
      </c>
      <c r="R605" s="9"/>
      <c r="S605" s="11"/>
    </row>
    <row r="606" spans="1:19" ht="15.75">
      <c r="A606" s="13">
        <v>59961</v>
      </c>
      <c r="B606" s="8">
        <f>17.0142 * CHOOSE(CONTROL!$C$15, $D$11, 100%, $F$11)</f>
        <v>17.014199999999999</v>
      </c>
      <c r="C606" s="8">
        <f>17.0249 * CHOOSE(CONTROL!$C$15, $D$11, 100%, $F$11)</f>
        <v>17.024899999999999</v>
      </c>
      <c r="D606" s="8">
        <f>17.0064 * CHOOSE( CONTROL!$C$15, $D$11, 100%, $F$11)</f>
        <v>17.006399999999999</v>
      </c>
      <c r="E606" s="12">
        <f>17.012 * CHOOSE( CONTROL!$C$15, $D$11, 100%, $F$11)</f>
        <v>17.012</v>
      </c>
      <c r="F606" s="4">
        <f>17.6753 * CHOOSE(CONTROL!$C$15, $D$11, 100%, $F$11)</f>
        <v>17.6753</v>
      </c>
      <c r="G606" s="8">
        <f>16.627 * CHOOSE( CONTROL!$C$15, $D$11, 100%, $F$11)</f>
        <v>16.626999999999999</v>
      </c>
      <c r="H606" s="4">
        <f>17.5152 * CHOOSE(CONTROL!$C$15, $D$11, 100%, $F$11)</f>
        <v>17.5152</v>
      </c>
      <c r="I606" s="8">
        <f>16.4479 * CHOOSE(CONTROL!$C$15, $D$11, 100%, $F$11)</f>
        <v>16.447900000000001</v>
      </c>
      <c r="J606" s="4">
        <f>16.3209 * CHOOSE(CONTROL!$C$15, $D$11, 100%, $F$11)</f>
        <v>16.320900000000002</v>
      </c>
      <c r="K606" s="4"/>
      <c r="L606" s="9">
        <v>27.415299999999998</v>
      </c>
      <c r="M606" s="9">
        <v>11.285299999999999</v>
      </c>
      <c r="N606" s="9">
        <v>4.6254999999999997</v>
      </c>
      <c r="O606" s="9">
        <v>0.34989999999999999</v>
      </c>
      <c r="P606" s="9">
        <v>1.2093</v>
      </c>
      <c r="Q606" s="9">
        <v>18.417899999999999</v>
      </c>
      <c r="R606" s="9"/>
      <c r="S606" s="11"/>
    </row>
    <row r="607" spans="1:19" ht="15.75">
      <c r="A607" s="13">
        <v>59992</v>
      </c>
      <c r="B607" s="8">
        <f>16.6523 * CHOOSE(CONTROL!$C$15, $D$11, 100%, $F$11)</f>
        <v>16.6523</v>
      </c>
      <c r="C607" s="8">
        <f>16.6631 * CHOOSE(CONTROL!$C$15, $D$11, 100%, $F$11)</f>
        <v>16.6631</v>
      </c>
      <c r="D607" s="8">
        <f>16.644 * CHOOSE( CONTROL!$C$15, $D$11, 100%, $F$11)</f>
        <v>16.643999999999998</v>
      </c>
      <c r="E607" s="12">
        <f>16.6498 * CHOOSE( CONTROL!$C$15, $D$11, 100%, $F$11)</f>
        <v>16.649799999999999</v>
      </c>
      <c r="F607" s="4">
        <f>17.3134 * CHOOSE(CONTROL!$C$15, $D$11, 100%, $F$11)</f>
        <v>17.313400000000001</v>
      </c>
      <c r="G607" s="8">
        <f>16.2728 * CHOOSE( CONTROL!$C$15, $D$11, 100%, $F$11)</f>
        <v>16.2728</v>
      </c>
      <c r="H607" s="4">
        <f>17.1614 * CHOOSE(CONTROL!$C$15, $D$11, 100%, $F$11)</f>
        <v>17.1614</v>
      </c>
      <c r="I607" s="8">
        <f>16.0987 * CHOOSE(CONTROL!$C$15, $D$11, 100%, $F$11)</f>
        <v>16.098700000000001</v>
      </c>
      <c r="J607" s="4">
        <f>15.9734 * CHOOSE(CONTROL!$C$15, $D$11, 100%, $F$11)</f>
        <v>15.9734</v>
      </c>
      <c r="K607" s="4"/>
      <c r="L607" s="9">
        <v>29.306000000000001</v>
      </c>
      <c r="M607" s="9">
        <v>12.063700000000001</v>
      </c>
      <c r="N607" s="9">
        <v>4.9444999999999997</v>
      </c>
      <c r="O607" s="9">
        <v>0.37409999999999999</v>
      </c>
      <c r="P607" s="9">
        <v>1.2927</v>
      </c>
      <c r="Q607" s="9">
        <v>19.688099999999999</v>
      </c>
      <c r="R607" s="9"/>
      <c r="S607" s="11"/>
    </row>
    <row r="608" spans="1:19" ht="15.75">
      <c r="A608" s="13">
        <v>60022</v>
      </c>
      <c r="B608" s="8">
        <f>16.9051 * CHOOSE(CONTROL!$C$15, $D$11, 100%, $F$11)</f>
        <v>16.905100000000001</v>
      </c>
      <c r="C608" s="8">
        <f>16.9159 * CHOOSE(CONTROL!$C$15, $D$11, 100%, $F$11)</f>
        <v>16.915900000000001</v>
      </c>
      <c r="D608" s="8">
        <f>16.9507 * CHOOSE( CONTROL!$C$15, $D$11, 100%, $F$11)</f>
        <v>16.950700000000001</v>
      </c>
      <c r="E608" s="12">
        <f>16.938 * CHOOSE( CONTROL!$C$15, $D$11, 100%, $F$11)</f>
        <v>16.937999999999999</v>
      </c>
      <c r="F608" s="4">
        <f>17.634 * CHOOSE(CONTROL!$C$15, $D$11, 100%, $F$11)</f>
        <v>17.634</v>
      </c>
      <c r="G608" s="8">
        <f>16.5228 * CHOOSE( CONTROL!$C$15, $D$11, 100%, $F$11)</f>
        <v>16.5228</v>
      </c>
      <c r="H608" s="4">
        <f>17.4749 * CHOOSE(CONTROL!$C$15, $D$11, 100%, $F$11)</f>
        <v>17.474900000000002</v>
      </c>
      <c r="I608" s="8">
        <f>16.3369 * CHOOSE(CONTROL!$C$15, $D$11, 100%, $F$11)</f>
        <v>16.3369</v>
      </c>
      <c r="J608" s="4">
        <f>16.2162 * CHOOSE(CONTROL!$C$15, $D$11, 100%, $F$11)</f>
        <v>16.216200000000001</v>
      </c>
      <c r="K608" s="4"/>
      <c r="L608" s="9">
        <v>30.092199999999998</v>
      </c>
      <c r="M608" s="9">
        <v>11.6745</v>
      </c>
      <c r="N608" s="9">
        <v>4.7850000000000001</v>
      </c>
      <c r="O608" s="9">
        <v>0.36199999999999999</v>
      </c>
      <c r="P608" s="9">
        <v>1.1791</v>
      </c>
      <c r="Q608" s="9">
        <v>19.053000000000001</v>
      </c>
      <c r="R608" s="9"/>
      <c r="S608" s="11"/>
    </row>
    <row r="609" spans="1:19" ht="15.75">
      <c r="A609" s="13">
        <v>60053</v>
      </c>
      <c r="B609" s="8">
        <f>CHOOSE( CONTROL!$C$32, 17.3574, 17.3551) * CHOOSE(CONTROL!$C$15, $D$11, 100%, $F$11)</f>
        <v>17.357399999999998</v>
      </c>
      <c r="C609" s="8">
        <f>CHOOSE( CONTROL!$C$32, 17.368, 17.3657) * CHOOSE(CONTROL!$C$15, $D$11, 100%, $F$11)</f>
        <v>17.367999999999999</v>
      </c>
      <c r="D609" s="8">
        <f>CHOOSE( CONTROL!$C$32, 17.4018, 17.3995) * CHOOSE( CONTROL!$C$15, $D$11, 100%, $F$11)</f>
        <v>17.401800000000001</v>
      </c>
      <c r="E609" s="12">
        <f>CHOOSE( CONTROL!$C$32, 17.3879, 17.3856) * CHOOSE( CONTROL!$C$15, $D$11, 100%, $F$11)</f>
        <v>17.387899999999998</v>
      </c>
      <c r="F609" s="4">
        <f>CHOOSE( CONTROL!$C$32, 18.0863, 18.084) * CHOOSE(CONTROL!$C$15, $D$11, 100%, $F$11)</f>
        <v>18.086300000000001</v>
      </c>
      <c r="G609" s="8">
        <f>CHOOSE( CONTROL!$C$32, 16.9655, 16.9633) * CHOOSE( CONTROL!$C$15, $D$11, 100%, $F$11)</f>
        <v>16.965499999999999</v>
      </c>
      <c r="H609" s="4">
        <f>CHOOSE( CONTROL!$C$32, 17.9171, 17.9149) * CHOOSE(CONTROL!$C$15, $D$11, 100%, $F$11)</f>
        <v>17.917100000000001</v>
      </c>
      <c r="I609" s="8">
        <f>CHOOSE( CONTROL!$C$32, 16.7715, 16.7693) * CHOOSE(CONTROL!$C$15, $D$11, 100%, $F$11)</f>
        <v>16.7715</v>
      </c>
      <c r="J609" s="4">
        <f>CHOOSE( CONTROL!$C$32, 16.6505, 16.6483) * CHOOSE(CONTROL!$C$15, $D$11, 100%, $F$11)</f>
        <v>16.650500000000001</v>
      </c>
      <c r="K609" s="4"/>
      <c r="L609" s="9">
        <v>30.7165</v>
      </c>
      <c r="M609" s="9">
        <v>12.063700000000001</v>
      </c>
      <c r="N609" s="9">
        <v>4.9444999999999997</v>
      </c>
      <c r="O609" s="9">
        <v>0.37409999999999999</v>
      </c>
      <c r="P609" s="9">
        <v>1.2183999999999999</v>
      </c>
      <c r="Q609" s="9">
        <v>19.688099999999999</v>
      </c>
      <c r="R609" s="9"/>
      <c r="S609" s="11"/>
    </row>
    <row r="610" spans="1:19" ht="15.75">
      <c r="A610" s="13">
        <v>60083</v>
      </c>
      <c r="B610" s="8">
        <f>CHOOSE( CONTROL!$C$32, 17.0786, 17.0763) * CHOOSE(CONTROL!$C$15, $D$11, 100%, $F$11)</f>
        <v>17.078600000000002</v>
      </c>
      <c r="C610" s="8">
        <f>CHOOSE( CONTROL!$C$32, 17.0892, 17.0869) * CHOOSE(CONTROL!$C$15, $D$11, 100%, $F$11)</f>
        <v>17.089200000000002</v>
      </c>
      <c r="D610" s="8">
        <f>CHOOSE( CONTROL!$C$32, 17.1232, 17.1209) * CHOOSE( CONTROL!$C$15, $D$11, 100%, $F$11)</f>
        <v>17.123200000000001</v>
      </c>
      <c r="E610" s="12">
        <f>CHOOSE( CONTROL!$C$32, 17.1093, 17.107) * CHOOSE( CONTROL!$C$15, $D$11, 100%, $F$11)</f>
        <v>17.109300000000001</v>
      </c>
      <c r="F610" s="4">
        <f>CHOOSE( CONTROL!$C$32, 17.8075, 17.8052) * CHOOSE(CONTROL!$C$15, $D$11, 100%, $F$11)</f>
        <v>17.807500000000001</v>
      </c>
      <c r="G610" s="8">
        <f>CHOOSE( CONTROL!$C$32, 16.6932, 16.691) * CHOOSE( CONTROL!$C$15, $D$11, 100%, $F$11)</f>
        <v>16.693200000000001</v>
      </c>
      <c r="H610" s="4">
        <f>CHOOSE( CONTROL!$C$32, 17.6445, 17.6423) * CHOOSE(CONTROL!$C$15, $D$11, 100%, $F$11)</f>
        <v>17.644500000000001</v>
      </c>
      <c r="I610" s="8">
        <f>CHOOSE( CONTROL!$C$32, 16.5045, 16.5023) * CHOOSE(CONTROL!$C$15, $D$11, 100%, $F$11)</f>
        <v>16.5045</v>
      </c>
      <c r="J610" s="4">
        <f>CHOOSE( CONTROL!$C$32, 16.3828, 16.3806) * CHOOSE(CONTROL!$C$15, $D$11, 100%, $F$11)</f>
        <v>16.3828</v>
      </c>
      <c r="K610" s="4"/>
      <c r="L610" s="9">
        <v>29.7257</v>
      </c>
      <c r="M610" s="9">
        <v>11.6745</v>
      </c>
      <c r="N610" s="9">
        <v>4.7850000000000001</v>
      </c>
      <c r="O610" s="9">
        <v>0.36199999999999999</v>
      </c>
      <c r="P610" s="9">
        <v>1.1791</v>
      </c>
      <c r="Q610" s="9">
        <v>19.053000000000001</v>
      </c>
      <c r="R610" s="9"/>
      <c r="S610" s="11"/>
    </row>
    <row r="611" spans="1:19" ht="15.75">
      <c r="A611" s="13">
        <v>60114</v>
      </c>
      <c r="B611" s="8">
        <f>CHOOSE( CONTROL!$C$32, 17.8128, 17.8105) * CHOOSE(CONTROL!$C$15, $D$11, 100%, $F$11)</f>
        <v>17.812799999999999</v>
      </c>
      <c r="C611" s="8">
        <f>CHOOSE( CONTROL!$C$32, 17.8233, 17.821) * CHOOSE(CONTROL!$C$15, $D$11, 100%, $F$11)</f>
        <v>17.8233</v>
      </c>
      <c r="D611" s="8">
        <f>CHOOSE( CONTROL!$C$32, 17.8575, 17.8552) * CHOOSE( CONTROL!$C$15, $D$11, 100%, $F$11)</f>
        <v>17.857500000000002</v>
      </c>
      <c r="E611" s="12">
        <f>CHOOSE( CONTROL!$C$32, 17.8435, 17.8412) * CHOOSE( CONTROL!$C$15, $D$11, 100%, $F$11)</f>
        <v>17.843499999999999</v>
      </c>
      <c r="F611" s="4">
        <f>CHOOSE( CONTROL!$C$32, 18.5417, 18.5394) * CHOOSE(CONTROL!$C$15, $D$11, 100%, $F$11)</f>
        <v>18.541699999999999</v>
      </c>
      <c r="G611" s="8">
        <f>CHOOSE( CONTROL!$C$32, 17.4113, 17.4091) * CHOOSE( CONTROL!$C$15, $D$11, 100%, $F$11)</f>
        <v>17.411300000000001</v>
      </c>
      <c r="H611" s="4">
        <f>CHOOSE( CONTROL!$C$32, 18.3623, 18.3601) * CHOOSE(CONTROL!$C$15, $D$11, 100%, $F$11)</f>
        <v>18.362300000000001</v>
      </c>
      <c r="I611" s="8">
        <f>CHOOSE( CONTROL!$C$32, 17.2107, 17.2085) * CHOOSE(CONTROL!$C$15, $D$11, 100%, $F$11)</f>
        <v>17.210699999999999</v>
      </c>
      <c r="J611" s="4">
        <f>CHOOSE( CONTROL!$C$32, 17.0877, 17.0855) * CHOOSE(CONTROL!$C$15, $D$11, 100%, $F$11)</f>
        <v>17.087700000000002</v>
      </c>
      <c r="K611" s="4"/>
      <c r="L611" s="9">
        <v>30.7165</v>
      </c>
      <c r="M611" s="9">
        <v>12.063700000000001</v>
      </c>
      <c r="N611" s="9">
        <v>4.9444999999999997</v>
      </c>
      <c r="O611" s="9">
        <v>0.37409999999999999</v>
      </c>
      <c r="P611" s="9">
        <v>1.2183999999999999</v>
      </c>
      <c r="Q611" s="9">
        <v>19.688099999999999</v>
      </c>
      <c r="R611" s="9"/>
      <c r="S611" s="11"/>
    </row>
    <row r="612" spans="1:19" ht="15.75">
      <c r="A612" s="13">
        <v>60145</v>
      </c>
      <c r="B612" s="8">
        <f>CHOOSE( CONTROL!$C$32, 16.4391, 16.4368) * CHOOSE(CONTROL!$C$15, $D$11, 100%, $F$11)</f>
        <v>16.4391</v>
      </c>
      <c r="C612" s="8">
        <f>CHOOSE( CONTROL!$C$32, 16.4496, 16.4473) * CHOOSE(CONTROL!$C$15, $D$11, 100%, $F$11)</f>
        <v>16.4496</v>
      </c>
      <c r="D612" s="8">
        <f>CHOOSE( CONTROL!$C$32, 16.4839, 16.4816) * CHOOSE( CONTROL!$C$15, $D$11, 100%, $F$11)</f>
        <v>16.483899999999998</v>
      </c>
      <c r="E612" s="12">
        <f>CHOOSE( CONTROL!$C$32, 16.4699, 16.4676) * CHOOSE( CONTROL!$C$15, $D$11, 100%, $F$11)</f>
        <v>16.469899999999999</v>
      </c>
      <c r="F612" s="4">
        <f>CHOOSE( CONTROL!$C$32, 17.168, 17.1657) * CHOOSE(CONTROL!$C$15, $D$11, 100%, $F$11)</f>
        <v>17.167999999999999</v>
      </c>
      <c r="G612" s="8">
        <f>CHOOSE( CONTROL!$C$32, 16.0683, 16.0661) * CHOOSE( CONTROL!$C$15, $D$11, 100%, $F$11)</f>
        <v>16.068300000000001</v>
      </c>
      <c r="H612" s="4">
        <f>CHOOSE( CONTROL!$C$32, 17.0193, 17.017) * CHOOSE(CONTROL!$C$15, $D$11, 100%, $F$11)</f>
        <v>17.019300000000001</v>
      </c>
      <c r="I612" s="8">
        <f>CHOOSE( CONTROL!$C$32, 15.8914, 15.8892) * CHOOSE(CONTROL!$C$15, $D$11, 100%, $F$11)</f>
        <v>15.891400000000001</v>
      </c>
      <c r="J612" s="4">
        <f>CHOOSE( CONTROL!$C$32, 15.7688, 15.7666) * CHOOSE(CONTROL!$C$15, $D$11, 100%, $F$11)</f>
        <v>15.768800000000001</v>
      </c>
      <c r="K612" s="4"/>
      <c r="L612" s="9">
        <v>30.7165</v>
      </c>
      <c r="M612" s="9">
        <v>12.063700000000001</v>
      </c>
      <c r="N612" s="9">
        <v>4.9444999999999997</v>
      </c>
      <c r="O612" s="9">
        <v>0.37409999999999999</v>
      </c>
      <c r="P612" s="9">
        <v>1.2183999999999999</v>
      </c>
      <c r="Q612" s="9">
        <v>19.688099999999999</v>
      </c>
      <c r="R612" s="9"/>
      <c r="S612" s="11"/>
    </row>
    <row r="613" spans="1:19" ht="15.75">
      <c r="A613" s="13">
        <v>60175</v>
      </c>
      <c r="B613" s="8">
        <f>CHOOSE( CONTROL!$C$32, 16.0951, 16.0928) * CHOOSE(CONTROL!$C$15, $D$11, 100%, $F$11)</f>
        <v>16.095099999999999</v>
      </c>
      <c r="C613" s="8">
        <f>CHOOSE( CONTROL!$C$32, 16.1057, 16.1034) * CHOOSE(CONTROL!$C$15, $D$11, 100%, $F$11)</f>
        <v>16.105699999999999</v>
      </c>
      <c r="D613" s="8">
        <f>CHOOSE( CONTROL!$C$32, 16.1399, 16.1376) * CHOOSE( CONTROL!$C$15, $D$11, 100%, $F$11)</f>
        <v>16.139900000000001</v>
      </c>
      <c r="E613" s="12">
        <f>CHOOSE( CONTROL!$C$32, 16.1259, 16.1236) * CHOOSE( CONTROL!$C$15, $D$11, 100%, $F$11)</f>
        <v>16.125900000000001</v>
      </c>
      <c r="F613" s="4">
        <f>CHOOSE( CONTROL!$C$32, 16.824, 16.8217) * CHOOSE(CONTROL!$C$15, $D$11, 100%, $F$11)</f>
        <v>16.824000000000002</v>
      </c>
      <c r="G613" s="8">
        <f>CHOOSE( CONTROL!$C$32, 15.732, 15.7297) * CHOOSE( CONTROL!$C$15, $D$11, 100%, $F$11)</f>
        <v>15.731999999999999</v>
      </c>
      <c r="H613" s="4">
        <f>CHOOSE( CONTROL!$C$32, 16.683, 16.6807) * CHOOSE(CONTROL!$C$15, $D$11, 100%, $F$11)</f>
        <v>16.683</v>
      </c>
      <c r="I613" s="8">
        <f>CHOOSE( CONTROL!$C$32, 15.5608, 15.5586) * CHOOSE(CONTROL!$C$15, $D$11, 100%, $F$11)</f>
        <v>15.5608</v>
      </c>
      <c r="J613" s="4">
        <f>CHOOSE( CONTROL!$C$32, 15.4386, 15.4364) * CHOOSE(CONTROL!$C$15, $D$11, 100%, $F$11)</f>
        <v>15.438599999999999</v>
      </c>
      <c r="K613" s="4"/>
      <c r="L613" s="9">
        <v>29.7257</v>
      </c>
      <c r="M613" s="9">
        <v>11.6745</v>
      </c>
      <c r="N613" s="9">
        <v>4.7850000000000001</v>
      </c>
      <c r="O613" s="9">
        <v>0.36199999999999999</v>
      </c>
      <c r="P613" s="9">
        <v>1.1791</v>
      </c>
      <c r="Q613" s="9">
        <v>19.053000000000001</v>
      </c>
      <c r="R613" s="9"/>
      <c r="S613" s="11"/>
    </row>
    <row r="614" spans="1:19" ht="15.75">
      <c r="A614" s="13">
        <v>60206</v>
      </c>
      <c r="B614" s="8">
        <f>16.8071 * CHOOSE(CONTROL!$C$15, $D$11, 100%, $F$11)</f>
        <v>16.807099999999998</v>
      </c>
      <c r="C614" s="8">
        <f>16.8179 * CHOOSE(CONTROL!$C$15, $D$11, 100%, $F$11)</f>
        <v>16.817900000000002</v>
      </c>
      <c r="D614" s="8">
        <f>16.8533 * CHOOSE( CONTROL!$C$15, $D$11, 100%, $F$11)</f>
        <v>16.853300000000001</v>
      </c>
      <c r="E614" s="12">
        <f>16.8405 * CHOOSE( CONTROL!$C$15, $D$11, 100%, $F$11)</f>
        <v>16.840499999999999</v>
      </c>
      <c r="F614" s="4">
        <f>17.536 * CHOOSE(CONTROL!$C$15, $D$11, 100%, $F$11)</f>
        <v>17.536000000000001</v>
      </c>
      <c r="G614" s="8">
        <f>16.4279 * CHOOSE( CONTROL!$C$15, $D$11, 100%, $F$11)</f>
        <v>16.427900000000001</v>
      </c>
      <c r="H614" s="4">
        <f>17.379 * CHOOSE(CONTROL!$C$15, $D$11, 100%, $F$11)</f>
        <v>17.379000000000001</v>
      </c>
      <c r="I614" s="8">
        <f>16.2456 * CHOOSE(CONTROL!$C$15, $D$11, 100%, $F$11)</f>
        <v>16.2456</v>
      </c>
      <c r="J614" s="4">
        <f>16.1221 * CHOOSE(CONTROL!$C$15, $D$11, 100%, $F$11)</f>
        <v>16.1221</v>
      </c>
      <c r="K614" s="4"/>
      <c r="L614" s="9">
        <v>31.095300000000002</v>
      </c>
      <c r="M614" s="9">
        <v>12.063700000000001</v>
      </c>
      <c r="N614" s="9">
        <v>4.9444999999999997</v>
      </c>
      <c r="O614" s="9">
        <v>0.37409999999999999</v>
      </c>
      <c r="P614" s="9">
        <v>1.2183999999999999</v>
      </c>
      <c r="Q614" s="9">
        <v>19.688099999999999</v>
      </c>
      <c r="R614" s="9"/>
      <c r="S614" s="11"/>
    </row>
    <row r="615" spans="1:19" ht="15.75">
      <c r="A615" s="13">
        <v>60236</v>
      </c>
      <c r="B615" s="8">
        <f>18.1255 * CHOOSE(CONTROL!$C$15, $D$11, 100%, $F$11)</f>
        <v>18.125499999999999</v>
      </c>
      <c r="C615" s="8">
        <f>18.1363 * CHOOSE(CONTROL!$C$15, $D$11, 100%, $F$11)</f>
        <v>18.136299999999999</v>
      </c>
      <c r="D615" s="8">
        <f>18.1123 * CHOOSE( CONTROL!$C$15, $D$11, 100%, $F$11)</f>
        <v>18.112300000000001</v>
      </c>
      <c r="E615" s="12">
        <f>18.1199 * CHOOSE( CONTROL!$C$15, $D$11, 100%, $F$11)</f>
        <v>18.119900000000001</v>
      </c>
      <c r="F615" s="4">
        <f>18.7866 * CHOOSE(CONTROL!$C$15, $D$11, 100%, $F$11)</f>
        <v>18.7866</v>
      </c>
      <c r="G615" s="8">
        <f>17.7168 * CHOOSE( CONTROL!$C$15, $D$11, 100%, $F$11)</f>
        <v>17.716799999999999</v>
      </c>
      <c r="H615" s="4">
        <f>18.6018 * CHOOSE(CONTROL!$C$15, $D$11, 100%, $F$11)</f>
        <v>18.601800000000001</v>
      </c>
      <c r="I615" s="8">
        <f>17.5553 * CHOOSE(CONTROL!$C$15, $D$11, 100%, $F$11)</f>
        <v>17.555299999999999</v>
      </c>
      <c r="J615" s="4">
        <f>17.3878 * CHOOSE(CONTROL!$C$15, $D$11, 100%, $F$11)</f>
        <v>17.387799999999999</v>
      </c>
      <c r="K615" s="4"/>
      <c r="L615" s="9">
        <v>28.360600000000002</v>
      </c>
      <c r="M615" s="9">
        <v>11.6745</v>
      </c>
      <c r="N615" s="9">
        <v>4.7850000000000001</v>
      </c>
      <c r="O615" s="9">
        <v>0.36199999999999999</v>
      </c>
      <c r="P615" s="9">
        <v>1.2509999999999999</v>
      </c>
      <c r="Q615" s="9">
        <v>19.053000000000001</v>
      </c>
      <c r="R615" s="9"/>
      <c r="S615" s="11"/>
    </row>
    <row r="616" spans="1:19" ht="15.75">
      <c r="A616" s="13">
        <v>60267</v>
      </c>
      <c r="B616" s="8">
        <f>18.0926 * CHOOSE(CONTROL!$C$15, $D$11, 100%, $F$11)</f>
        <v>18.092600000000001</v>
      </c>
      <c r="C616" s="8">
        <f>18.1033 * CHOOSE(CONTROL!$C$15, $D$11, 100%, $F$11)</f>
        <v>18.103300000000001</v>
      </c>
      <c r="D616" s="8">
        <f>18.081 * CHOOSE( CONTROL!$C$15, $D$11, 100%, $F$11)</f>
        <v>18.081</v>
      </c>
      <c r="E616" s="12">
        <f>18.088 * CHOOSE( CONTROL!$C$15, $D$11, 100%, $F$11)</f>
        <v>18.088000000000001</v>
      </c>
      <c r="F616" s="4">
        <f>18.7537 * CHOOSE(CONTROL!$C$15, $D$11, 100%, $F$11)</f>
        <v>18.753699999999998</v>
      </c>
      <c r="G616" s="8">
        <f>17.6858 * CHOOSE( CONTROL!$C$15, $D$11, 100%, $F$11)</f>
        <v>17.6858</v>
      </c>
      <c r="H616" s="4">
        <f>18.5696 * CHOOSE(CONTROL!$C$15, $D$11, 100%, $F$11)</f>
        <v>18.569600000000001</v>
      </c>
      <c r="I616" s="8">
        <f>17.5289 * CHOOSE(CONTROL!$C$15, $D$11, 100%, $F$11)</f>
        <v>17.5289</v>
      </c>
      <c r="J616" s="4">
        <f>17.3562 * CHOOSE(CONTROL!$C$15, $D$11, 100%, $F$11)</f>
        <v>17.356200000000001</v>
      </c>
      <c r="K616" s="4"/>
      <c r="L616" s="9">
        <v>29.306000000000001</v>
      </c>
      <c r="M616" s="9">
        <v>12.063700000000001</v>
      </c>
      <c r="N616" s="9">
        <v>4.9444999999999997</v>
      </c>
      <c r="O616" s="9">
        <v>0.37409999999999999</v>
      </c>
      <c r="P616" s="9">
        <v>1.2927</v>
      </c>
      <c r="Q616" s="9">
        <v>19.688099999999999</v>
      </c>
      <c r="R616" s="9"/>
      <c r="S616" s="11"/>
    </row>
    <row r="617" spans="1:19" ht="15.75">
      <c r="A617" s="13">
        <v>60298</v>
      </c>
      <c r="B617" s="8">
        <f>18.6258 * CHOOSE(CONTROL!$C$15, $D$11, 100%, $F$11)</f>
        <v>18.625800000000002</v>
      </c>
      <c r="C617" s="8">
        <f>18.6365 * CHOOSE(CONTROL!$C$15, $D$11, 100%, $F$11)</f>
        <v>18.636500000000002</v>
      </c>
      <c r="D617" s="8">
        <f>18.6181 * CHOOSE( CONTROL!$C$15, $D$11, 100%, $F$11)</f>
        <v>18.618099999999998</v>
      </c>
      <c r="E617" s="12">
        <f>18.6237 * CHOOSE( CONTROL!$C$15, $D$11, 100%, $F$11)</f>
        <v>18.623699999999999</v>
      </c>
      <c r="F617" s="4">
        <f>19.2869 * CHOOSE(CONTROL!$C$15, $D$11, 100%, $F$11)</f>
        <v>19.286899999999999</v>
      </c>
      <c r="G617" s="8">
        <f>18.2027 * CHOOSE( CONTROL!$C$15, $D$11, 100%, $F$11)</f>
        <v>18.2027</v>
      </c>
      <c r="H617" s="4">
        <f>19.0909 * CHOOSE(CONTROL!$C$15, $D$11, 100%, $F$11)</f>
        <v>19.090900000000001</v>
      </c>
      <c r="I617" s="8">
        <f>17.9964 * CHOOSE(CONTROL!$C$15, $D$11, 100%, $F$11)</f>
        <v>17.996400000000001</v>
      </c>
      <c r="J617" s="4">
        <f>17.8681 * CHOOSE(CONTROL!$C$15, $D$11, 100%, $F$11)</f>
        <v>17.868099999999998</v>
      </c>
      <c r="K617" s="4"/>
      <c r="L617" s="9">
        <v>29.306000000000001</v>
      </c>
      <c r="M617" s="9">
        <v>12.063700000000001</v>
      </c>
      <c r="N617" s="9">
        <v>4.9444999999999997</v>
      </c>
      <c r="O617" s="9">
        <v>0.37409999999999999</v>
      </c>
      <c r="P617" s="9">
        <v>1.2927</v>
      </c>
      <c r="Q617" s="9">
        <v>19.688099999999999</v>
      </c>
      <c r="R617" s="9"/>
      <c r="S617" s="11"/>
    </row>
    <row r="618" spans="1:19" ht="15.75">
      <c r="A618" s="13">
        <v>60326</v>
      </c>
      <c r="B618" s="8">
        <f>17.4226 * CHOOSE(CONTROL!$C$15, $D$11, 100%, $F$11)</f>
        <v>17.422599999999999</v>
      </c>
      <c r="C618" s="8">
        <f>17.4334 * CHOOSE(CONTROL!$C$15, $D$11, 100%, $F$11)</f>
        <v>17.433399999999999</v>
      </c>
      <c r="D618" s="8">
        <f>17.4148 * CHOOSE( CONTROL!$C$15, $D$11, 100%, $F$11)</f>
        <v>17.4148</v>
      </c>
      <c r="E618" s="12">
        <f>17.4205 * CHOOSE( CONTROL!$C$15, $D$11, 100%, $F$11)</f>
        <v>17.420500000000001</v>
      </c>
      <c r="F618" s="4">
        <f>18.0837 * CHOOSE(CONTROL!$C$15, $D$11, 100%, $F$11)</f>
        <v>18.0837</v>
      </c>
      <c r="G618" s="8">
        <f>17.0263 * CHOOSE( CONTROL!$C$15, $D$11, 100%, $F$11)</f>
        <v>17.026299999999999</v>
      </c>
      <c r="H618" s="4">
        <f>17.9146 * CHOOSE(CONTROL!$C$15, $D$11, 100%, $F$11)</f>
        <v>17.9146</v>
      </c>
      <c r="I618" s="8">
        <f>16.8402 * CHOOSE(CONTROL!$C$15, $D$11, 100%, $F$11)</f>
        <v>16.840199999999999</v>
      </c>
      <c r="J618" s="4">
        <f>16.713 * CHOOSE(CONTROL!$C$15, $D$11, 100%, $F$11)</f>
        <v>16.713000000000001</v>
      </c>
      <c r="K618" s="4"/>
      <c r="L618" s="9">
        <v>26.469899999999999</v>
      </c>
      <c r="M618" s="9">
        <v>10.8962</v>
      </c>
      <c r="N618" s="9">
        <v>4.4660000000000002</v>
      </c>
      <c r="O618" s="9">
        <v>0.33789999999999998</v>
      </c>
      <c r="P618" s="9">
        <v>1.1676</v>
      </c>
      <c r="Q618" s="9">
        <v>17.782800000000002</v>
      </c>
      <c r="R618" s="9"/>
      <c r="S618" s="11"/>
    </row>
    <row r="619" spans="1:19" ht="15.75">
      <c r="A619" s="13">
        <v>60357</v>
      </c>
      <c r="B619" s="8">
        <f>17.0521 * CHOOSE(CONTROL!$C$15, $D$11, 100%, $F$11)</f>
        <v>17.052099999999999</v>
      </c>
      <c r="C619" s="8">
        <f>17.0628 * CHOOSE(CONTROL!$C$15, $D$11, 100%, $F$11)</f>
        <v>17.062799999999999</v>
      </c>
      <c r="D619" s="8">
        <f>17.0438 * CHOOSE( CONTROL!$C$15, $D$11, 100%, $F$11)</f>
        <v>17.043800000000001</v>
      </c>
      <c r="E619" s="12">
        <f>17.0496 * CHOOSE( CONTROL!$C$15, $D$11, 100%, $F$11)</f>
        <v>17.049600000000002</v>
      </c>
      <c r="F619" s="4">
        <f>17.7132 * CHOOSE(CONTROL!$C$15, $D$11, 100%, $F$11)</f>
        <v>17.713200000000001</v>
      </c>
      <c r="G619" s="8">
        <f>16.6636 * CHOOSE( CONTROL!$C$15, $D$11, 100%, $F$11)</f>
        <v>16.663599999999999</v>
      </c>
      <c r="H619" s="4">
        <f>17.5523 * CHOOSE(CONTROL!$C$15, $D$11, 100%, $F$11)</f>
        <v>17.552299999999999</v>
      </c>
      <c r="I619" s="8">
        <f>16.4827 * CHOOSE(CONTROL!$C$15, $D$11, 100%, $F$11)</f>
        <v>16.482700000000001</v>
      </c>
      <c r="J619" s="4">
        <f>16.3572 * CHOOSE(CONTROL!$C$15, $D$11, 100%, $F$11)</f>
        <v>16.357199999999999</v>
      </c>
      <c r="K619" s="4"/>
      <c r="L619" s="9">
        <v>29.306000000000001</v>
      </c>
      <c r="M619" s="9">
        <v>12.063700000000001</v>
      </c>
      <c r="N619" s="9">
        <v>4.9444999999999997</v>
      </c>
      <c r="O619" s="9">
        <v>0.37409999999999999</v>
      </c>
      <c r="P619" s="9">
        <v>1.2927</v>
      </c>
      <c r="Q619" s="9">
        <v>19.688099999999999</v>
      </c>
      <c r="R619" s="9"/>
      <c r="S619" s="11"/>
    </row>
    <row r="620" spans="1:19" ht="15.75">
      <c r="A620" s="13">
        <v>60387</v>
      </c>
      <c r="B620" s="8">
        <f>17.311 * CHOOSE(CONTROL!$C$15, $D$11, 100%, $F$11)</f>
        <v>17.311</v>
      </c>
      <c r="C620" s="8">
        <f>17.3218 * CHOOSE(CONTROL!$C$15, $D$11, 100%, $F$11)</f>
        <v>17.3218</v>
      </c>
      <c r="D620" s="8">
        <f>17.3565 * CHOOSE( CONTROL!$C$15, $D$11, 100%, $F$11)</f>
        <v>17.3565</v>
      </c>
      <c r="E620" s="12">
        <f>17.3438 * CHOOSE( CONTROL!$C$15, $D$11, 100%, $F$11)</f>
        <v>17.343800000000002</v>
      </c>
      <c r="F620" s="4">
        <f>18.0398 * CHOOSE(CONTROL!$C$15, $D$11, 100%, $F$11)</f>
        <v>18.0398</v>
      </c>
      <c r="G620" s="8">
        <f>16.9196 * CHOOSE( CONTROL!$C$15, $D$11, 100%, $F$11)</f>
        <v>16.919599999999999</v>
      </c>
      <c r="H620" s="4">
        <f>17.8716 * CHOOSE(CONTROL!$C$15, $D$11, 100%, $F$11)</f>
        <v>17.871600000000001</v>
      </c>
      <c r="I620" s="8">
        <f>16.7267 * CHOOSE(CONTROL!$C$15, $D$11, 100%, $F$11)</f>
        <v>16.726700000000001</v>
      </c>
      <c r="J620" s="4">
        <f>16.6058 * CHOOSE(CONTROL!$C$15, $D$11, 100%, $F$11)</f>
        <v>16.605799999999999</v>
      </c>
      <c r="K620" s="4"/>
      <c r="L620" s="9">
        <v>30.092199999999998</v>
      </c>
      <c r="M620" s="9">
        <v>11.6745</v>
      </c>
      <c r="N620" s="9">
        <v>4.7850000000000001</v>
      </c>
      <c r="O620" s="9">
        <v>0.36199999999999999</v>
      </c>
      <c r="P620" s="9">
        <v>1.1791</v>
      </c>
      <c r="Q620" s="9">
        <v>19.053000000000001</v>
      </c>
      <c r="R620" s="9"/>
      <c r="S620" s="11"/>
    </row>
    <row r="621" spans="1:19" ht="15.75">
      <c r="A621" s="13">
        <v>60418</v>
      </c>
      <c r="B621" s="8">
        <f>CHOOSE( CONTROL!$C$32, 17.774, 17.7717) * CHOOSE(CONTROL!$C$15, $D$11, 100%, $F$11)</f>
        <v>17.774000000000001</v>
      </c>
      <c r="C621" s="8">
        <f>CHOOSE( CONTROL!$C$32, 17.7846, 17.7823) * CHOOSE(CONTROL!$C$15, $D$11, 100%, $F$11)</f>
        <v>17.784600000000001</v>
      </c>
      <c r="D621" s="8">
        <f>CHOOSE( CONTROL!$C$32, 17.8184, 17.8161) * CHOOSE( CONTROL!$C$15, $D$11, 100%, $F$11)</f>
        <v>17.8184</v>
      </c>
      <c r="E621" s="12">
        <f>CHOOSE( CONTROL!$C$32, 17.8045, 17.8022) * CHOOSE( CONTROL!$C$15, $D$11, 100%, $F$11)</f>
        <v>17.804500000000001</v>
      </c>
      <c r="F621" s="4">
        <f>CHOOSE( CONTROL!$C$32, 18.503, 18.5007) * CHOOSE(CONTROL!$C$15, $D$11, 100%, $F$11)</f>
        <v>18.503</v>
      </c>
      <c r="G621" s="8">
        <f>CHOOSE( CONTROL!$C$32, 17.3729, 17.3706) * CHOOSE( CONTROL!$C$15, $D$11, 100%, $F$11)</f>
        <v>17.372900000000001</v>
      </c>
      <c r="H621" s="4">
        <f>CHOOSE( CONTROL!$C$32, 18.3245, 18.3222) * CHOOSE(CONTROL!$C$15, $D$11, 100%, $F$11)</f>
        <v>18.3245</v>
      </c>
      <c r="I621" s="8">
        <f>CHOOSE( CONTROL!$C$32, 17.1717, 17.1695) * CHOOSE(CONTROL!$C$15, $D$11, 100%, $F$11)</f>
        <v>17.171700000000001</v>
      </c>
      <c r="J621" s="4">
        <f>CHOOSE( CONTROL!$C$32, 17.0505, 17.0483) * CHOOSE(CONTROL!$C$15, $D$11, 100%, $F$11)</f>
        <v>17.0505</v>
      </c>
      <c r="K621" s="4"/>
      <c r="L621" s="9">
        <v>30.7165</v>
      </c>
      <c r="M621" s="9">
        <v>12.063700000000001</v>
      </c>
      <c r="N621" s="9">
        <v>4.9444999999999997</v>
      </c>
      <c r="O621" s="9">
        <v>0.37409999999999999</v>
      </c>
      <c r="P621" s="9">
        <v>1.2183999999999999</v>
      </c>
      <c r="Q621" s="9">
        <v>19.688099999999999</v>
      </c>
      <c r="R621" s="9"/>
      <c r="S621" s="11"/>
    </row>
    <row r="622" spans="1:19" ht="15.75">
      <c r="A622" s="13">
        <v>60448</v>
      </c>
      <c r="B622" s="8">
        <f>CHOOSE( CONTROL!$C$32, 17.4885, 17.4862) * CHOOSE(CONTROL!$C$15, $D$11, 100%, $F$11)</f>
        <v>17.488499999999998</v>
      </c>
      <c r="C622" s="8">
        <f>CHOOSE( CONTROL!$C$32, 17.4991, 17.4968) * CHOOSE(CONTROL!$C$15, $D$11, 100%, $F$11)</f>
        <v>17.499099999999999</v>
      </c>
      <c r="D622" s="8">
        <f>CHOOSE( CONTROL!$C$32, 17.5331, 17.5308) * CHOOSE( CONTROL!$C$15, $D$11, 100%, $F$11)</f>
        <v>17.533100000000001</v>
      </c>
      <c r="E622" s="12">
        <f>CHOOSE( CONTROL!$C$32, 17.5192, 17.5169) * CHOOSE( CONTROL!$C$15, $D$11, 100%, $F$11)</f>
        <v>17.519200000000001</v>
      </c>
      <c r="F622" s="4">
        <f>CHOOSE( CONTROL!$C$32, 18.2175, 18.2152) * CHOOSE(CONTROL!$C$15, $D$11, 100%, $F$11)</f>
        <v>18.217500000000001</v>
      </c>
      <c r="G622" s="8">
        <f>CHOOSE( CONTROL!$C$32, 17.094, 17.0918) * CHOOSE( CONTROL!$C$15, $D$11, 100%, $F$11)</f>
        <v>17.094000000000001</v>
      </c>
      <c r="H622" s="4">
        <f>CHOOSE( CONTROL!$C$32, 18.0453, 18.0431) * CHOOSE(CONTROL!$C$15, $D$11, 100%, $F$11)</f>
        <v>18.045300000000001</v>
      </c>
      <c r="I622" s="8">
        <f>CHOOSE( CONTROL!$C$32, 16.8982, 16.896) * CHOOSE(CONTROL!$C$15, $D$11, 100%, $F$11)</f>
        <v>16.898199999999999</v>
      </c>
      <c r="J622" s="4">
        <f>CHOOSE( CONTROL!$C$32, 16.7764, 16.7742) * CHOOSE(CONTROL!$C$15, $D$11, 100%, $F$11)</f>
        <v>16.776399999999999</v>
      </c>
      <c r="K622" s="4"/>
      <c r="L622" s="9">
        <v>29.7257</v>
      </c>
      <c r="M622" s="9">
        <v>11.6745</v>
      </c>
      <c r="N622" s="9">
        <v>4.7850000000000001</v>
      </c>
      <c r="O622" s="9">
        <v>0.36199999999999999</v>
      </c>
      <c r="P622" s="9">
        <v>1.1791</v>
      </c>
      <c r="Q622" s="9">
        <v>19.053000000000001</v>
      </c>
      <c r="R622" s="9"/>
      <c r="S622" s="11"/>
    </row>
    <row r="623" spans="1:19" ht="15.75">
      <c r="A623" s="13">
        <v>60479</v>
      </c>
      <c r="B623" s="8">
        <f>CHOOSE( CONTROL!$C$32, 18.2403, 18.238) * CHOOSE(CONTROL!$C$15, $D$11, 100%, $F$11)</f>
        <v>18.240300000000001</v>
      </c>
      <c r="C623" s="8">
        <f>CHOOSE( CONTROL!$C$32, 18.2509, 18.2486) * CHOOSE(CONTROL!$C$15, $D$11, 100%, $F$11)</f>
        <v>18.250900000000001</v>
      </c>
      <c r="D623" s="8">
        <f>CHOOSE( CONTROL!$C$32, 18.2851, 18.2828) * CHOOSE( CONTROL!$C$15, $D$11, 100%, $F$11)</f>
        <v>18.2851</v>
      </c>
      <c r="E623" s="12">
        <f>CHOOSE( CONTROL!$C$32, 18.2711, 18.2688) * CHOOSE( CONTROL!$C$15, $D$11, 100%, $F$11)</f>
        <v>18.271100000000001</v>
      </c>
      <c r="F623" s="4">
        <f>CHOOSE( CONTROL!$C$32, 18.9693, 18.967) * CHOOSE(CONTROL!$C$15, $D$11, 100%, $F$11)</f>
        <v>18.9693</v>
      </c>
      <c r="G623" s="8">
        <f>CHOOSE( CONTROL!$C$32, 17.8294, 17.8271) * CHOOSE( CONTROL!$C$15, $D$11, 100%, $F$11)</f>
        <v>17.8294</v>
      </c>
      <c r="H623" s="4">
        <f>CHOOSE( CONTROL!$C$32, 18.7804, 18.7781) * CHOOSE(CONTROL!$C$15, $D$11, 100%, $F$11)</f>
        <v>18.7804</v>
      </c>
      <c r="I623" s="8">
        <f>CHOOSE( CONTROL!$C$32, 17.6214, 17.6192) * CHOOSE(CONTROL!$C$15, $D$11, 100%, $F$11)</f>
        <v>17.621400000000001</v>
      </c>
      <c r="J623" s="4">
        <f>CHOOSE( CONTROL!$C$32, 17.4982, 17.496) * CHOOSE(CONTROL!$C$15, $D$11, 100%, $F$11)</f>
        <v>17.498200000000001</v>
      </c>
      <c r="K623" s="4"/>
      <c r="L623" s="9">
        <v>30.7165</v>
      </c>
      <c r="M623" s="9">
        <v>12.063700000000001</v>
      </c>
      <c r="N623" s="9">
        <v>4.9444999999999997</v>
      </c>
      <c r="O623" s="9">
        <v>0.37409999999999999</v>
      </c>
      <c r="P623" s="9">
        <v>1.2183999999999999</v>
      </c>
      <c r="Q623" s="9">
        <v>19.688099999999999</v>
      </c>
      <c r="R623" s="9"/>
      <c r="S623" s="11"/>
    </row>
    <row r="624" spans="1:19" ht="15.75">
      <c r="A624" s="13">
        <v>60510</v>
      </c>
      <c r="B624" s="8">
        <f>CHOOSE( CONTROL!$C$32, 16.8336, 16.8313) * CHOOSE(CONTROL!$C$15, $D$11, 100%, $F$11)</f>
        <v>16.833600000000001</v>
      </c>
      <c r="C624" s="8">
        <f>CHOOSE( CONTROL!$C$32, 16.8442, 16.8419) * CHOOSE(CONTROL!$C$15, $D$11, 100%, $F$11)</f>
        <v>16.844200000000001</v>
      </c>
      <c r="D624" s="8">
        <f>CHOOSE( CONTROL!$C$32, 16.8785, 16.8762) * CHOOSE( CONTROL!$C$15, $D$11, 100%, $F$11)</f>
        <v>16.878499999999999</v>
      </c>
      <c r="E624" s="12">
        <f>CHOOSE( CONTROL!$C$32, 16.8645, 16.8622) * CHOOSE( CONTROL!$C$15, $D$11, 100%, $F$11)</f>
        <v>16.8645</v>
      </c>
      <c r="F624" s="4">
        <f>CHOOSE( CONTROL!$C$32, 17.5626, 17.5603) * CHOOSE(CONTROL!$C$15, $D$11, 100%, $F$11)</f>
        <v>17.5626</v>
      </c>
      <c r="G624" s="8">
        <f>CHOOSE( CONTROL!$C$32, 16.4541, 16.4519) * CHOOSE( CONTROL!$C$15, $D$11, 100%, $F$11)</f>
        <v>16.4541</v>
      </c>
      <c r="H624" s="4">
        <f>CHOOSE( CONTROL!$C$32, 17.4051, 17.4028) * CHOOSE(CONTROL!$C$15, $D$11, 100%, $F$11)</f>
        <v>17.405100000000001</v>
      </c>
      <c r="I624" s="8">
        <f>CHOOSE( CONTROL!$C$32, 16.2704, 16.2682) * CHOOSE(CONTROL!$C$15, $D$11, 100%, $F$11)</f>
        <v>16.270399999999999</v>
      </c>
      <c r="J624" s="4">
        <f>CHOOSE( CONTROL!$C$32, 16.1477, 16.1454) * CHOOSE(CONTROL!$C$15, $D$11, 100%, $F$11)</f>
        <v>16.1477</v>
      </c>
      <c r="K624" s="4"/>
      <c r="L624" s="9">
        <v>30.7165</v>
      </c>
      <c r="M624" s="9">
        <v>12.063700000000001</v>
      </c>
      <c r="N624" s="9">
        <v>4.9444999999999997</v>
      </c>
      <c r="O624" s="9">
        <v>0.37409999999999999</v>
      </c>
      <c r="P624" s="9">
        <v>1.2183999999999999</v>
      </c>
      <c r="Q624" s="9">
        <v>19.688099999999999</v>
      </c>
      <c r="R624" s="9"/>
      <c r="S624" s="11"/>
    </row>
    <row r="625" spans="1:19" ht="15.75">
      <c r="A625" s="13">
        <v>60540</v>
      </c>
      <c r="B625" s="8">
        <f>CHOOSE( CONTROL!$C$32, 16.4814, 16.4791) * CHOOSE(CONTROL!$C$15, $D$11, 100%, $F$11)</f>
        <v>16.481400000000001</v>
      </c>
      <c r="C625" s="8">
        <f>CHOOSE( CONTROL!$C$32, 16.492, 16.4897) * CHOOSE(CONTROL!$C$15, $D$11, 100%, $F$11)</f>
        <v>16.492000000000001</v>
      </c>
      <c r="D625" s="8">
        <f>CHOOSE( CONTROL!$C$32, 16.5262, 16.5239) * CHOOSE( CONTROL!$C$15, $D$11, 100%, $F$11)</f>
        <v>16.526199999999999</v>
      </c>
      <c r="E625" s="12">
        <f>CHOOSE( CONTROL!$C$32, 16.5122, 16.5099) * CHOOSE( CONTROL!$C$15, $D$11, 100%, $F$11)</f>
        <v>16.5122</v>
      </c>
      <c r="F625" s="4">
        <f>CHOOSE( CONTROL!$C$32, 17.2103, 17.208) * CHOOSE(CONTROL!$C$15, $D$11, 100%, $F$11)</f>
        <v>17.2103</v>
      </c>
      <c r="G625" s="8">
        <f>CHOOSE( CONTROL!$C$32, 16.1097, 16.1074) * CHOOSE( CONTROL!$C$15, $D$11, 100%, $F$11)</f>
        <v>16.1097</v>
      </c>
      <c r="H625" s="4">
        <f>CHOOSE( CONTROL!$C$32, 17.0607, 17.0584) * CHOOSE(CONTROL!$C$15, $D$11, 100%, $F$11)</f>
        <v>17.060700000000001</v>
      </c>
      <c r="I625" s="8">
        <f>CHOOSE( CONTROL!$C$32, 15.9319, 15.9297) * CHOOSE(CONTROL!$C$15, $D$11, 100%, $F$11)</f>
        <v>15.931900000000001</v>
      </c>
      <c r="J625" s="4">
        <f>CHOOSE( CONTROL!$C$32, 15.8095, 15.8072) * CHOOSE(CONTROL!$C$15, $D$11, 100%, $F$11)</f>
        <v>15.8095</v>
      </c>
      <c r="K625" s="4"/>
      <c r="L625" s="9">
        <v>29.7257</v>
      </c>
      <c r="M625" s="9">
        <v>11.6745</v>
      </c>
      <c r="N625" s="9">
        <v>4.7850000000000001</v>
      </c>
      <c r="O625" s="9">
        <v>0.36199999999999999</v>
      </c>
      <c r="P625" s="9">
        <v>1.1791</v>
      </c>
      <c r="Q625" s="9">
        <v>19.053000000000001</v>
      </c>
      <c r="R625" s="9"/>
      <c r="S625" s="11"/>
    </row>
    <row r="626" spans="1:19" ht="15.75">
      <c r="A626" s="13">
        <v>60571</v>
      </c>
      <c r="B626" s="8">
        <f>17.2106 * CHOOSE(CONTROL!$C$15, $D$11, 100%, $F$11)</f>
        <v>17.210599999999999</v>
      </c>
      <c r="C626" s="8">
        <f>17.2213 * CHOOSE(CONTROL!$C$15, $D$11, 100%, $F$11)</f>
        <v>17.221299999999999</v>
      </c>
      <c r="D626" s="8">
        <f>17.2568 * CHOOSE( CONTROL!$C$15, $D$11, 100%, $F$11)</f>
        <v>17.256799999999998</v>
      </c>
      <c r="E626" s="12">
        <f>17.2439 * CHOOSE( CONTROL!$C$15, $D$11, 100%, $F$11)</f>
        <v>17.2439</v>
      </c>
      <c r="F626" s="4">
        <f>17.9394 * CHOOSE(CONTROL!$C$15, $D$11, 100%, $F$11)</f>
        <v>17.939399999999999</v>
      </c>
      <c r="G626" s="8">
        <f>16.8223 * CHOOSE( CONTROL!$C$15, $D$11, 100%, $F$11)</f>
        <v>16.822299999999998</v>
      </c>
      <c r="H626" s="4">
        <f>17.7735 * CHOOSE(CONTROL!$C$15, $D$11, 100%, $F$11)</f>
        <v>17.773499999999999</v>
      </c>
      <c r="I626" s="8">
        <f>16.6332 * CHOOSE(CONTROL!$C$15, $D$11, 100%, $F$11)</f>
        <v>16.633199999999999</v>
      </c>
      <c r="J626" s="4">
        <f>16.5095 * CHOOSE(CONTROL!$C$15, $D$11, 100%, $F$11)</f>
        <v>16.509499999999999</v>
      </c>
      <c r="K626" s="4"/>
      <c r="L626" s="9">
        <v>31.095300000000002</v>
      </c>
      <c r="M626" s="9">
        <v>12.063700000000001</v>
      </c>
      <c r="N626" s="9">
        <v>4.9444999999999997</v>
      </c>
      <c r="O626" s="9">
        <v>0.37409999999999999</v>
      </c>
      <c r="P626" s="9">
        <v>1.2183999999999999</v>
      </c>
      <c r="Q626" s="9">
        <v>19.688099999999999</v>
      </c>
      <c r="R626" s="9"/>
      <c r="S626" s="11"/>
    </row>
    <row r="627" spans="1:19" ht="15.75">
      <c r="A627" s="13">
        <v>60601</v>
      </c>
      <c r="B627" s="8">
        <f>18.5606 * CHOOSE(CONTROL!$C$15, $D$11, 100%, $F$11)</f>
        <v>18.560600000000001</v>
      </c>
      <c r="C627" s="8">
        <f>18.5714 * CHOOSE(CONTROL!$C$15, $D$11, 100%, $F$11)</f>
        <v>18.571400000000001</v>
      </c>
      <c r="D627" s="8">
        <f>18.5474 * CHOOSE( CONTROL!$C$15, $D$11, 100%, $F$11)</f>
        <v>18.5474</v>
      </c>
      <c r="E627" s="12">
        <f>18.555 * CHOOSE( CONTROL!$C$15, $D$11, 100%, $F$11)</f>
        <v>18.555</v>
      </c>
      <c r="F627" s="4">
        <f>19.2217 * CHOOSE(CONTROL!$C$15, $D$11, 100%, $F$11)</f>
        <v>19.221699999999998</v>
      </c>
      <c r="G627" s="8">
        <f>18.1422 * CHOOSE( CONTROL!$C$15, $D$11, 100%, $F$11)</f>
        <v>18.142199999999999</v>
      </c>
      <c r="H627" s="4">
        <f>19.0272 * CHOOSE(CONTROL!$C$15, $D$11, 100%, $F$11)</f>
        <v>19.027200000000001</v>
      </c>
      <c r="I627" s="8">
        <f>17.9733 * CHOOSE(CONTROL!$C$15, $D$11, 100%, $F$11)</f>
        <v>17.973299999999998</v>
      </c>
      <c r="J627" s="4">
        <f>17.8056 * CHOOSE(CONTROL!$C$15, $D$11, 100%, $F$11)</f>
        <v>17.805599999999998</v>
      </c>
      <c r="K627" s="4"/>
      <c r="L627" s="9">
        <v>28.360600000000002</v>
      </c>
      <c r="M627" s="9">
        <v>11.6745</v>
      </c>
      <c r="N627" s="9">
        <v>4.7850000000000001</v>
      </c>
      <c r="O627" s="9">
        <v>0.36199999999999999</v>
      </c>
      <c r="P627" s="9">
        <v>1.2509999999999999</v>
      </c>
      <c r="Q627" s="9">
        <v>19.053000000000001</v>
      </c>
      <c r="R627" s="9"/>
      <c r="S627" s="11"/>
    </row>
    <row r="628" spans="1:19" ht="15.75">
      <c r="A628" s="13">
        <v>60632</v>
      </c>
      <c r="B628" s="8">
        <f>18.5269 * CHOOSE(CONTROL!$C$15, $D$11, 100%, $F$11)</f>
        <v>18.526900000000001</v>
      </c>
      <c r="C628" s="8">
        <f>18.5377 * CHOOSE(CONTROL!$C$15, $D$11, 100%, $F$11)</f>
        <v>18.537700000000001</v>
      </c>
      <c r="D628" s="8">
        <f>18.5154 * CHOOSE( CONTROL!$C$15, $D$11, 100%, $F$11)</f>
        <v>18.5154</v>
      </c>
      <c r="E628" s="12">
        <f>18.5224 * CHOOSE( CONTROL!$C$15, $D$11, 100%, $F$11)</f>
        <v>18.522400000000001</v>
      </c>
      <c r="F628" s="4">
        <f>19.188 * CHOOSE(CONTROL!$C$15, $D$11, 100%, $F$11)</f>
        <v>19.187999999999999</v>
      </c>
      <c r="G628" s="8">
        <f>18.1105 * CHOOSE( CONTROL!$C$15, $D$11, 100%, $F$11)</f>
        <v>18.110499999999998</v>
      </c>
      <c r="H628" s="4">
        <f>18.9942 * CHOOSE(CONTROL!$C$15, $D$11, 100%, $F$11)</f>
        <v>18.994199999999999</v>
      </c>
      <c r="I628" s="8">
        <f>17.9461 * CHOOSE(CONTROL!$C$15, $D$11, 100%, $F$11)</f>
        <v>17.946100000000001</v>
      </c>
      <c r="J628" s="4">
        <f>17.7732 * CHOOSE(CONTROL!$C$15, $D$11, 100%, $F$11)</f>
        <v>17.773199999999999</v>
      </c>
      <c r="K628" s="4"/>
      <c r="L628" s="9">
        <v>29.306000000000001</v>
      </c>
      <c r="M628" s="9">
        <v>12.063700000000001</v>
      </c>
      <c r="N628" s="9">
        <v>4.9444999999999997</v>
      </c>
      <c r="O628" s="9">
        <v>0.37409999999999999</v>
      </c>
      <c r="P628" s="9">
        <v>1.2927</v>
      </c>
      <c r="Q628" s="9">
        <v>19.688099999999999</v>
      </c>
      <c r="R628" s="9"/>
      <c r="S628" s="11"/>
    </row>
    <row r="629" spans="1:19" ht="15.75">
      <c r="A629" s="13">
        <v>60663</v>
      </c>
      <c r="B629" s="8">
        <f>19.0729 * CHOOSE(CONTROL!$C$15, $D$11, 100%, $F$11)</f>
        <v>19.072900000000001</v>
      </c>
      <c r="C629" s="8">
        <f>19.0837 * CHOOSE(CONTROL!$C$15, $D$11, 100%, $F$11)</f>
        <v>19.0837</v>
      </c>
      <c r="D629" s="8">
        <f>19.0653 * CHOOSE( CONTROL!$C$15, $D$11, 100%, $F$11)</f>
        <v>19.065300000000001</v>
      </c>
      <c r="E629" s="12">
        <f>19.0709 * CHOOSE( CONTROL!$C$15, $D$11, 100%, $F$11)</f>
        <v>19.070900000000002</v>
      </c>
      <c r="F629" s="4">
        <f>19.7341 * CHOOSE(CONTROL!$C$15, $D$11, 100%, $F$11)</f>
        <v>19.734100000000002</v>
      </c>
      <c r="G629" s="8">
        <f>18.6399 * CHOOSE( CONTROL!$C$15, $D$11, 100%, $F$11)</f>
        <v>18.639900000000001</v>
      </c>
      <c r="H629" s="4">
        <f>19.5281 * CHOOSE(CONTROL!$C$15, $D$11, 100%, $F$11)</f>
        <v>19.528099999999998</v>
      </c>
      <c r="I629" s="8">
        <f>18.426 * CHOOSE(CONTROL!$C$15, $D$11, 100%, $F$11)</f>
        <v>18.425999999999998</v>
      </c>
      <c r="J629" s="4">
        <f>18.2975 * CHOOSE(CONTROL!$C$15, $D$11, 100%, $F$11)</f>
        <v>18.297499999999999</v>
      </c>
      <c r="K629" s="4"/>
      <c r="L629" s="9">
        <v>29.306000000000001</v>
      </c>
      <c r="M629" s="9">
        <v>12.063700000000001</v>
      </c>
      <c r="N629" s="9">
        <v>4.9444999999999997</v>
      </c>
      <c r="O629" s="9">
        <v>0.37409999999999999</v>
      </c>
      <c r="P629" s="9">
        <v>1.2927</v>
      </c>
      <c r="Q629" s="9">
        <v>19.688099999999999</v>
      </c>
      <c r="R629" s="9"/>
      <c r="S629" s="11"/>
    </row>
    <row r="630" spans="1:19" ht="15.75">
      <c r="A630" s="13">
        <v>60691</v>
      </c>
      <c r="B630" s="8">
        <f>17.8409 * CHOOSE(CONTROL!$C$15, $D$11, 100%, $F$11)</f>
        <v>17.840900000000001</v>
      </c>
      <c r="C630" s="8">
        <f>17.8516 * CHOOSE(CONTROL!$C$15, $D$11, 100%, $F$11)</f>
        <v>17.851600000000001</v>
      </c>
      <c r="D630" s="8">
        <f>17.8331 * CHOOSE( CONTROL!$C$15, $D$11, 100%, $F$11)</f>
        <v>17.833100000000002</v>
      </c>
      <c r="E630" s="12">
        <f>17.8387 * CHOOSE( CONTROL!$C$15, $D$11, 100%, $F$11)</f>
        <v>17.838699999999999</v>
      </c>
      <c r="F630" s="4">
        <f>18.502 * CHOOSE(CONTROL!$C$15, $D$11, 100%, $F$11)</f>
        <v>18.501999999999999</v>
      </c>
      <c r="G630" s="8">
        <f>17.4352 * CHOOSE( CONTROL!$C$15, $D$11, 100%, $F$11)</f>
        <v>17.435199999999998</v>
      </c>
      <c r="H630" s="4">
        <f>18.3235 * CHOOSE(CONTROL!$C$15, $D$11, 100%, $F$11)</f>
        <v>18.323499999999999</v>
      </c>
      <c r="I630" s="8">
        <f>17.242 * CHOOSE(CONTROL!$C$15, $D$11, 100%, $F$11)</f>
        <v>17.242000000000001</v>
      </c>
      <c r="J630" s="4">
        <f>17.1146 * CHOOSE(CONTROL!$C$15, $D$11, 100%, $F$11)</f>
        <v>17.114599999999999</v>
      </c>
      <c r="K630" s="4"/>
      <c r="L630" s="9">
        <v>26.469899999999999</v>
      </c>
      <c r="M630" s="9">
        <v>10.8962</v>
      </c>
      <c r="N630" s="9">
        <v>4.4660000000000002</v>
      </c>
      <c r="O630" s="9">
        <v>0.33789999999999998</v>
      </c>
      <c r="P630" s="9">
        <v>1.1676</v>
      </c>
      <c r="Q630" s="9">
        <v>17.782800000000002</v>
      </c>
      <c r="R630" s="9"/>
      <c r="S630" s="11"/>
    </row>
    <row r="631" spans="1:19" ht="15.75">
      <c r="A631" s="13">
        <v>60722</v>
      </c>
      <c r="B631" s="8">
        <f>17.4614 * CHOOSE(CONTROL!$C$15, $D$11, 100%, $F$11)</f>
        <v>17.461400000000001</v>
      </c>
      <c r="C631" s="8">
        <f>17.4722 * CHOOSE(CONTROL!$C$15, $D$11, 100%, $F$11)</f>
        <v>17.472200000000001</v>
      </c>
      <c r="D631" s="8">
        <f>17.4531 * CHOOSE( CONTROL!$C$15, $D$11, 100%, $F$11)</f>
        <v>17.453099999999999</v>
      </c>
      <c r="E631" s="12">
        <f>17.4589 * CHOOSE( CONTROL!$C$15, $D$11, 100%, $F$11)</f>
        <v>17.4589</v>
      </c>
      <c r="F631" s="4">
        <f>18.1225 * CHOOSE(CONTROL!$C$15, $D$11, 100%, $F$11)</f>
        <v>18.122499999999999</v>
      </c>
      <c r="G631" s="8">
        <f>17.0639 * CHOOSE( CONTROL!$C$15, $D$11, 100%, $F$11)</f>
        <v>17.0639</v>
      </c>
      <c r="H631" s="4">
        <f>17.9525 * CHOOSE(CONTROL!$C$15, $D$11, 100%, $F$11)</f>
        <v>17.952500000000001</v>
      </c>
      <c r="I631" s="8">
        <f>16.876 * CHOOSE(CONTROL!$C$15, $D$11, 100%, $F$11)</f>
        <v>16.876000000000001</v>
      </c>
      <c r="J631" s="4">
        <f>16.7502 * CHOOSE(CONTROL!$C$15, $D$11, 100%, $F$11)</f>
        <v>16.7502</v>
      </c>
      <c r="K631" s="4"/>
      <c r="L631" s="9">
        <v>29.306000000000001</v>
      </c>
      <c r="M631" s="9">
        <v>12.063700000000001</v>
      </c>
      <c r="N631" s="9">
        <v>4.9444999999999997</v>
      </c>
      <c r="O631" s="9">
        <v>0.37409999999999999</v>
      </c>
      <c r="P631" s="9">
        <v>1.2927</v>
      </c>
      <c r="Q631" s="9">
        <v>19.688099999999999</v>
      </c>
      <c r="R631" s="9"/>
      <c r="S631" s="11"/>
    </row>
    <row r="632" spans="1:19" ht="15.75">
      <c r="A632" s="13">
        <v>60752</v>
      </c>
      <c r="B632" s="8">
        <f>17.7265 * CHOOSE(CONTROL!$C$15, $D$11, 100%, $F$11)</f>
        <v>17.726500000000001</v>
      </c>
      <c r="C632" s="8">
        <f>17.7373 * CHOOSE(CONTROL!$C$15, $D$11, 100%, $F$11)</f>
        <v>17.737300000000001</v>
      </c>
      <c r="D632" s="8">
        <f>17.7721 * CHOOSE( CONTROL!$C$15, $D$11, 100%, $F$11)</f>
        <v>17.772099999999998</v>
      </c>
      <c r="E632" s="12">
        <f>17.7594 * CHOOSE( CONTROL!$C$15, $D$11, 100%, $F$11)</f>
        <v>17.759399999999999</v>
      </c>
      <c r="F632" s="4">
        <f>18.4554 * CHOOSE(CONTROL!$C$15, $D$11, 100%, $F$11)</f>
        <v>18.455400000000001</v>
      </c>
      <c r="G632" s="8">
        <f>17.3259 * CHOOSE( CONTROL!$C$15, $D$11, 100%, $F$11)</f>
        <v>17.325900000000001</v>
      </c>
      <c r="H632" s="4">
        <f>18.2779 * CHOOSE(CONTROL!$C$15, $D$11, 100%, $F$11)</f>
        <v>18.277899999999999</v>
      </c>
      <c r="I632" s="8">
        <f>17.1259 * CHOOSE(CONTROL!$C$15, $D$11, 100%, $F$11)</f>
        <v>17.125900000000001</v>
      </c>
      <c r="J632" s="4">
        <f>17.0048 * CHOOSE(CONTROL!$C$15, $D$11, 100%, $F$11)</f>
        <v>17.004799999999999</v>
      </c>
      <c r="K632" s="4"/>
      <c r="L632" s="9">
        <v>30.092199999999998</v>
      </c>
      <c r="M632" s="9">
        <v>11.6745</v>
      </c>
      <c r="N632" s="9">
        <v>4.7850000000000001</v>
      </c>
      <c r="O632" s="9">
        <v>0.36199999999999999</v>
      </c>
      <c r="P632" s="9">
        <v>1.1791</v>
      </c>
      <c r="Q632" s="9">
        <v>19.053000000000001</v>
      </c>
      <c r="R632" s="9"/>
      <c r="S632" s="11"/>
    </row>
    <row r="633" spans="1:19" ht="15.75">
      <c r="A633" s="13">
        <v>60783</v>
      </c>
      <c r="B633" s="8">
        <f>CHOOSE( CONTROL!$C$32, 18.2007, 18.1984) * CHOOSE(CONTROL!$C$15, $D$11, 100%, $F$11)</f>
        <v>18.200700000000001</v>
      </c>
      <c r="C633" s="8">
        <f>CHOOSE( CONTROL!$C$32, 18.2112, 18.2089) * CHOOSE(CONTROL!$C$15, $D$11, 100%, $F$11)</f>
        <v>18.211200000000002</v>
      </c>
      <c r="D633" s="8">
        <f>CHOOSE( CONTROL!$C$32, 18.2451, 18.2428) * CHOOSE( CONTROL!$C$15, $D$11, 100%, $F$11)</f>
        <v>18.245100000000001</v>
      </c>
      <c r="E633" s="12">
        <f>CHOOSE( CONTROL!$C$32, 18.2312, 18.2289) * CHOOSE( CONTROL!$C$15, $D$11, 100%, $F$11)</f>
        <v>18.231200000000001</v>
      </c>
      <c r="F633" s="4">
        <f>CHOOSE( CONTROL!$C$32, 18.9296, 18.9273) * CHOOSE(CONTROL!$C$15, $D$11, 100%, $F$11)</f>
        <v>18.929600000000001</v>
      </c>
      <c r="G633" s="8">
        <f>CHOOSE( CONTROL!$C$32, 17.79, 17.7878) * CHOOSE( CONTROL!$C$15, $D$11, 100%, $F$11)</f>
        <v>17.79</v>
      </c>
      <c r="H633" s="4">
        <f>CHOOSE( CONTROL!$C$32, 18.7416, 18.7394) * CHOOSE(CONTROL!$C$15, $D$11, 100%, $F$11)</f>
        <v>18.741599999999998</v>
      </c>
      <c r="I633" s="8">
        <f>CHOOSE( CONTROL!$C$32, 17.5816, 17.5794) * CHOOSE(CONTROL!$C$15, $D$11, 100%, $F$11)</f>
        <v>17.581600000000002</v>
      </c>
      <c r="J633" s="4">
        <f>CHOOSE( CONTROL!$C$32, 17.4601, 17.4579) * CHOOSE(CONTROL!$C$15, $D$11, 100%, $F$11)</f>
        <v>17.460100000000001</v>
      </c>
      <c r="K633" s="4"/>
      <c r="L633" s="9">
        <v>30.7165</v>
      </c>
      <c r="M633" s="9">
        <v>12.063700000000001</v>
      </c>
      <c r="N633" s="9">
        <v>4.9444999999999997</v>
      </c>
      <c r="O633" s="9">
        <v>0.37409999999999999</v>
      </c>
      <c r="P633" s="9">
        <v>1.2183999999999999</v>
      </c>
      <c r="Q633" s="9">
        <v>19.688099999999999</v>
      </c>
      <c r="R633" s="9"/>
      <c r="S633" s="11"/>
    </row>
    <row r="634" spans="1:19" ht="15.75">
      <c r="A634" s="13">
        <v>60813</v>
      </c>
      <c r="B634" s="8">
        <f>CHOOSE( CONTROL!$C$32, 17.9083, 17.906) * CHOOSE(CONTROL!$C$15, $D$11, 100%, $F$11)</f>
        <v>17.908300000000001</v>
      </c>
      <c r="C634" s="8">
        <f>CHOOSE( CONTROL!$C$32, 17.9189, 17.9166) * CHOOSE(CONTROL!$C$15, $D$11, 100%, $F$11)</f>
        <v>17.918900000000001</v>
      </c>
      <c r="D634" s="8">
        <f>CHOOSE( CONTROL!$C$32, 17.9529, 17.9506) * CHOOSE( CONTROL!$C$15, $D$11, 100%, $F$11)</f>
        <v>17.9529</v>
      </c>
      <c r="E634" s="12">
        <f>CHOOSE( CONTROL!$C$32, 17.939, 17.9367) * CHOOSE( CONTROL!$C$15, $D$11, 100%, $F$11)</f>
        <v>17.939</v>
      </c>
      <c r="F634" s="4">
        <f>CHOOSE( CONTROL!$C$32, 18.6373, 18.635) * CHOOSE(CONTROL!$C$15, $D$11, 100%, $F$11)</f>
        <v>18.6373</v>
      </c>
      <c r="G634" s="8">
        <f>CHOOSE( CONTROL!$C$32, 17.5044, 17.5022) * CHOOSE( CONTROL!$C$15, $D$11, 100%, $F$11)</f>
        <v>17.5044</v>
      </c>
      <c r="H634" s="4">
        <f>CHOOSE( CONTROL!$C$32, 18.4558, 18.4535) * CHOOSE(CONTROL!$C$15, $D$11, 100%, $F$11)</f>
        <v>18.4558</v>
      </c>
      <c r="I634" s="8">
        <f>CHOOSE( CONTROL!$C$32, 17.3015, 17.2993) * CHOOSE(CONTROL!$C$15, $D$11, 100%, $F$11)</f>
        <v>17.301500000000001</v>
      </c>
      <c r="J634" s="4">
        <f>CHOOSE( CONTROL!$C$32, 17.1795, 17.1772) * CHOOSE(CONTROL!$C$15, $D$11, 100%, $F$11)</f>
        <v>17.179500000000001</v>
      </c>
      <c r="K634" s="4"/>
      <c r="L634" s="9">
        <v>29.7257</v>
      </c>
      <c r="M634" s="9">
        <v>11.6745</v>
      </c>
      <c r="N634" s="9">
        <v>4.7850000000000001</v>
      </c>
      <c r="O634" s="9">
        <v>0.36199999999999999</v>
      </c>
      <c r="P634" s="9">
        <v>1.1791</v>
      </c>
      <c r="Q634" s="9">
        <v>19.053000000000001</v>
      </c>
      <c r="R634" s="9"/>
      <c r="S634" s="11"/>
    </row>
    <row r="635" spans="1:19" ht="15.75">
      <c r="A635" s="13">
        <v>60844</v>
      </c>
      <c r="B635" s="8">
        <f>CHOOSE( CONTROL!$C$32, 18.6782, 18.6759) * CHOOSE(CONTROL!$C$15, $D$11, 100%, $F$11)</f>
        <v>18.6782</v>
      </c>
      <c r="C635" s="8">
        <f>CHOOSE( CONTROL!$C$32, 18.6888, 18.6865) * CHOOSE(CONTROL!$C$15, $D$11, 100%, $F$11)</f>
        <v>18.688800000000001</v>
      </c>
      <c r="D635" s="8">
        <f>CHOOSE( CONTROL!$C$32, 18.723, 18.7207) * CHOOSE( CONTROL!$C$15, $D$11, 100%, $F$11)</f>
        <v>18.722999999999999</v>
      </c>
      <c r="E635" s="12">
        <f>CHOOSE( CONTROL!$C$32, 18.709, 18.7067) * CHOOSE( CONTROL!$C$15, $D$11, 100%, $F$11)</f>
        <v>18.709</v>
      </c>
      <c r="F635" s="4">
        <f>CHOOSE( CONTROL!$C$32, 19.4071, 19.4048) * CHOOSE(CONTROL!$C$15, $D$11, 100%, $F$11)</f>
        <v>19.4071</v>
      </c>
      <c r="G635" s="8">
        <f>CHOOSE( CONTROL!$C$32, 18.2574, 18.2552) * CHOOSE( CONTROL!$C$15, $D$11, 100%, $F$11)</f>
        <v>18.257400000000001</v>
      </c>
      <c r="H635" s="4">
        <f>CHOOSE( CONTROL!$C$32, 19.2085, 19.2062) * CHOOSE(CONTROL!$C$15, $D$11, 100%, $F$11)</f>
        <v>19.208500000000001</v>
      </c>
      <c r="I635" s="8">
        <f>CHOOSE( CONTROL!$C$32, 18.042, 18.0398) * CHOOSE(CONTROL!$C$15, $D$11, 100%, $F$11)</f>
        <v>18.042000000000002</v>
      </c>
      <c r="J635" s="4">
        <f>CHOOSE( CONTROL!$C$32, 17.9186, 17.9164) * CHOOSE(CONTROL!$C$15, $D$11, 100%, $F$11)</f>
        <v>17.918600000000001</v>
      </c>
      <c r="K635" s="4"/>
      <c r="L635" s="9">
        <v>30.7165</v>
      </c>
      <c r="M635" s="9">
        <v>12.063700000000001</v>
      </c>
      <c r="N635" s="9">
        <v>4.9444999999999997</v>
      </c>
      <c r="O635" s="9">
        <v>0.37409999999999999</v>
      </c>
      <c r="P635" s="9">
        <v>1.2183999999999999</v>
      </c>
      <c r="Q635" s="9">
        <v>19.688099999999999</v>
      </c>
      <c r="R635" s="9"/>
      <c r="S635" s="11"/>
    </row>
    <row r="636" spans="1:19" ht="15.75">
      <c r="A636" s="13">
        <v>60875</v>
      </c>
      <c r="B636" s="8">
        <f>CHOOSE( CONTROL!$C$32, 17.2377, 17.2354) * CHOOSE(CONTROL!$C$15, $D$11, 100%, $F$11)</f>
        <v>17.2377</v>
      </c>
      <c r="C636" s="8">
        <f>CHOOSE( CONTROL!$C$32, 17.2483, 17.246) * CHOOSE(CONTROL!$C$15, $D$11, 100%, $F$11)</f>
        <v>17.2483</v>
      </c>
      <c r="D636" s="8">
        <f>CHOOSE( CONTROL!$C$32, 17.2825, 17.2802) * CHOOSE( CONTROL!$C$15, $D$11, 100%, $F$11)</f>
        <v>17.282499999999999</v>
      </c>
      <c r="E636" s="12">
        <f>CHOOSE( CONTROL!$C$32, 17.2685, 17.2662) * CHOOSE( CONTROL!$C$15, $D$11, 100%, $F$11)</f>
        <v>17.2685</v>
      </c>
      <c r="F636" s="4">
        <f>CHOOSE( CONTROL!$C$32, 17.9666, 17.9643) * CHOOSE(CONTROL!$C$15, $D$11, 100%, $F$11)</f>
        <v>17.9666</v>
      </c>
      <c r="G636" s="8">
        <f>CHOOSE( CONTROL!$C$32, 16.8492, 16.8469) * CHOOSE( CONTROL!$C$15, $D$11, 100%, $F$11)</f>
        <v>16.8492</v>
      </c>
      <c r="H636" s="4">
        <f>CHOOSE( CONTROL!$C$32, 17.8001, 17.7978) * CHOOSE(CONTROL!$C$15, $D$11, 100%, $F$11)</f>
        <v>17.8001</v>
      </c>
      <c r="I636" s="8">
        <f>CHOOSE( CONTROL!$C$32, 16.6586, 16.6564) * CHOOSE(CONTROL!$C$15, $D$11, 100%, $F$11)</f>
        <v>16.6586</v>
      </c>
      <c r="J636" s="4">
        <f>CHOOSE( CONTROL!$C$32, 16.5356, 16.5334) * CHOOSE(CONTROL!$C$15, $D$11, 100%, $F$11)</f>
        <v>16.535599999999999</v>
      </c>
      <c r="K636" s="4"/>
      <c r="L636" s="9">
        <v>30.7165</v>
      </c>
      <c r="M636" s="9">
        <v>12.063700000000001</v>
      </c>
      <c r="N636" s="9">
        <v>4.9444999999999997</v>
      </c>
      <c r="O636" s="9">
        <v>0.37409999999999999</v>
      </c>
      <c r="P636" s="9">
        <v>1.2183999999999999</v>
      </c>
      <c r="Q636" s="9">
        <v>19.688099999999999</v>
      </c>
      <c r="R636" s="9"/>
      <c r="S636" s="11"/>
    </row>
    <row r="637" spans="1:19" ht="15.75">
      <c r="A637" s="13">
        <v>60905</v>
      </c>
      <c r="B637" s="8">
        <f>CHOOSE( CONTROL!$C$32, 16.877, 16.8747) * CHOOSE(CONTROL!$C$15, $D$11, 100%, $F$11)</f>
        <v>16.876999999999999</v>
      </c>
      <c r="C637" s="8">
        <f>CHOOSE( CONTROL!$C$32, 16.8876, 16.8853) * CHOOSE(CONTROL!$C$15, $D$11, 100%, $F$11)</f>
        <v>16.887599999999999</v>
      </c>
      <c r="D637" s="8">
        <f>CHOOSE( CONTROL!$C$32, 16.9218, 16.9195) * CHOOSE( CONTROL!$C$15, $D$11, 100%, $F$11)</f>
        <v>16.921800000000001</v>
      </c>
      <c r="E637" s="12">
        <f>CHOOSE( CONTROL!$C$32, 16.9078, 16.9055) * CHOOSE( CONTROL!$C$15, $D$11, 100%, $F$11)</f>
        <v>16.907800000000002</v>
      </c>
      <c r="F637" s="4">
        <f>CHOOSE( CONTROL!$C$32, 17.6059, 17.6036) * CHOOSE(CONTROL!$C$15, $D$11, 100%, $F$11)</f>
        <v>17.605899999999998</v>
      </c>
      <c r="G637" s="8">
        <f>CHOOSE( CONTROL!$C$32, 16.4965, 16.4942) * CHOOSE( CONTROL!$C$15, $D$11, 100%, $F$11)</f>
        <v>16.496500000000001</v>
      </c>
      <c r="H637" s="4">
        <f>CHOOSE( CONTROL!$C$32, 17.4474, 17.4452) * CHOOSE(CONTROL!$C$15, $D$11, 100%, $F$11)</f>
        <v>17.447399999999998</v>
      </c>
      <c r="I637" s="8">
        <f>CHOOSE( CONTROL!$C$32, 16.3119, 16.3097) * CHOOSE(CONTROL!$C$15, $D$11, 100%, $F$11)</f>
        <v>16.311900000000001</v>
      </c>
      <c r="J637" s="4">
        <f>CHOOSE( CONTROL!$C$32, 16.1893, 16.1871) * CHOOSE(CONTROL!$C$15, $D$11, 100%, $F$11)</f>
        <v>16.189299999999999</v>
      </c>
      <c r="K637" s="4"/>
      <c r="L637" s="9">
        <v>29.7257</v>
      </c>
      <c r="M637" s="9">
        <v>11.6745</v>
      </c>
      <c r="N637" s="9">
        <v>4.7850000000000001</v>
      </c>
      <c r="O637" s="9">
        <v>0.36199999999999999</v>
      </c>
      <c r="P637" s="9">
        <v>1.1791</v>
      </c>
      <c r="Q637" s="9">
        <v>19.053000000000001</v>
      </c>
      <c r="R637" s="9"/>
      <c r="S637" s="11"/>
    </row>
    <row r="638" spans="1:19" ht="15.75">
      <c r="A638" s="13">
        <v>60936</v>
      </c>
      <c r="B638" s="8">
        <f>17.6238 * CHOOSE(CONTROL!$C$15, $D$11, 100%, $F$11)</f>
        <v>17.623799999999999</v>
      </c>
      <c r="C638" s="8">
        <f>17.6345 * CHOOSE(CONTROL!$C$15, $D$11, 100%, $F$11)</f>
        <v>17.634499999999999</v>
      </c>
      <c r="D638" s="8">
        <f>17.6699 * CHOOSE( CONTROL!$C$15, $D$11, 100%, $F$11)</f>
        <v>17.669899999999998</v>
      </c>
      <c r="E638" s="12">
        <f>17.6571 * CHOOSE( CONTROL!$C$15, $D$11, 100%, $F$11)</f>
        <v>17.6571</v>
      </c>
      <c r="F638" s="4">
        <f>18.3526 * CHOOSE(CONTROL!$C$15, $D$11, 100%, $F$11)</f>
        <v>18.352599999999999</v>
      </c>
      <c r="G638" s="8">
        <f>17.2263 * CHOOSE( CONTROL!$C$15, $D$11, 100%, $F$11)</f>
        <v>17.226299999999998</v>
      </c>
      <c r="H638" s="4">
        <f>18.1774 * CHOOSE(CONTROL!$C$15, $D$11, 100%, $F$11)</f>
        <v>18.177399999999999</v>
      </c>
      <c r="I638" s="8">
        <f>17.0301 * CHOOSE(CONTROL!$C$15, $D$11, 100%, $F$11)</f>
        <v>17.030100000000001</v>
      </c>
      <c r="J638" s="4">
        <f>16.9061 * CHOOSE(CONTROL!$C$15, $D$11, 100%, $F$11)</f>
        <v>16.906099999999999</v>
      </c>
      <c r="K638" s="4"/>
      <c r="L638" s="9">
        <v>31.095300000000002</v>
      </c>
      <c r="M638" s="9">
        <v>12.063700000000001</v>
      </c>
      <c r="N638" s="9">
        <v>4.9444999999999997</v>
      </c>
      <c r="O638" s="9">
        <v>0.37409999999999999</v>
      </c>
      <c r="P638" s="9">
        <v>1.2183999999999999</v>
      </c>
      <c r="Q638" s="9">
        <v>19.688099999999999</v>
      </c>
      <c r="R638" s="9"/>
      <c r="S638" s="11"/>
    </row>
    <row r="639" spans="1:19" ht="15.75">
      <c r="A639" s="13">
        <v>60966</v>
      </c>
      <c r="B639" s="8">
        <f>19.0062 * CHOOSE(CONTROL!$C$15, $D$11, 100%, $F$11)</f>
        <v>19.0062</v>
      </c>
      <c r="C639" s="8">
        <f>19.017 * CHOOSE(CONTROL!$C$15, $D$11, 100%, $F$11)</f>
        <v>19.016999999999999</v>
      </c>
      <c r="D639" s="8">
        <f>18.993 * CHOOSE( CONTROL!$C$15, $D$11, 100%, $F$11)</f>
        <v>18.992999999999999</v>
      </c>
      <c r="E639" s="12">
        <f>19.0006 * CHOOSE( CONTROL!$C$15, $D$11, 100%, $F$11)</f>
        <v>19.000599999999999</v>
      </c>
      <c r="F639" s="4">
        <f>19.6673 * CHOOSE(CONTROL!$C$15, $D$11, 100%, $F$11)</f>
        <v>19.667300000000001</v>
      </c>
      <c r="G639" s="8">
        <f>18.5779 * CHOOSE( CONTROL!$C$15, $D$11, 100%, $F$11)</f>
        <v>18.5779</v>
      </c>
      <c r="H639" s="4">
        <f>19.4629 * CHOOSE(CONTROL!$C$15, $D$11, 100%, $F$11)</f>
        <v>19.462900000000001</v>
      </c>
      <c r="I639" s="8">
        <f>18.4013 * CHOOSE(CONTROL!$C$15, $D$11, 100%, $F$11)</f>
        <v>18.401299999999999</v>
      </c>
      <c r="J639" s="4">
        <f>18.2334 * CHOOSE(CONTROL!$C$15, $D$11, 100%, $F$11)</f>
        <v>18.2334</v>
      </c>
      <c r="K639" s="4"/>
      <c r="L639" s="9">
        <v>28.360600000000002</v>
      </c>
      <c r="M639" s="9">
        <v>11.6745</v>
      </c>
      <c r="N639" s="9">
        <v>4.7850000000000001</v>
      </c>
      <c r="O639" s="9">
        <v>0.36199999999999999</v>
      </c>
      <c r="P639" s="9">
        <v>1.2509999999999999</v>
      </c>
      <c r="Q639" s="9">
        <v>19.053000000000001</v>
      </c>
      <c r="R639" s="9"/>
      <c r="S639" s="11"/>
    </row>
    <row r="640" spans="1:19" ht="15.75">
      <c r="A640" s="13">
        <v>60997</v>
      </c>
      <c r="B640" s="8">
        <f>18.9717 * CHOOSE(CONTROL!$C$15, $D$11, 100%, $F$11)</f>
        <v>18.971699999999998</v>
      </c>
      <c r="C640" s="8">
        <f>18.9825 * CHOOSE(CONTROL!$C$15, $D$11, 100%, $F$11)</f>
        <v>18.982500000000002</v>
      </c>
      <c r="D640" s="8">
        <f>18.9602 * CHOOSE( CONTROL!$C$15, $D$11, 100%, $F$11)</f>
        <v>18.9602</v>
      </c>
      <c r="E640" s="12">
        <f>18.9672 * CHOOSE( CONTROL!$C$15, $D$11, 100%, $F$11)</f>
        <v>18.967199999999998</v>
      </c>
      <c r="F640" s="4">
        <f>19.6328 * CHOOSE(CONTROL!$C$15, $D$11, 100%, $F$11)</f>
        <v>19.6328</v>
      </c>
      <c r="G640" s="8">
        <f>18.5453 * CHOOSE( CONTROL!$C$15, $D$11, 100%, $F$11)</f>
        <v>18.545300000000001</v>
      </c>
      <c r="H640" s="4">
        <f>19.4291 * CHOOSE(CONTROL!$C$15, $D$11, 100%, $F$11)</f>
        <v>19.429099999999998</v>
      </c>
      <c r="I640" s="8">
        <f>18.3733 * CHOOSE(CONTROL!$C$15, $D$11, 100%, $F$11)</f>
        <v>18.3733</v>
      </c>
      <c r="J640" s="4">
        <f>18.2003 * CHOOSE(CONTROL!$C$15, $D$11, 100%, $F$11)</f>
        <v>18.200299999999999</v>
      </c>
      <c r="K640" s="4"/>
      <c r="L640" s="9">
        <v>29.306000000000001</v>
      </c>
      <c r="M640" s="9">
        <v>12.063700000000001</v>
      </c>
      <c r="N640" s="9">
        <v>4.9444999999999997</v>
      </c>
      <c r="O640" s="9">
        <v>0.37409999999999999</v>
      </c>
      <c r="P640" s="9">
        <v>1.2927</v>
      </c>
      <c r="Q640" s="9">
        <v>19.688099999999999</v>
      </c>
      <c r="R640" s="9"/>
      <c r="S640" s="11"/>
    </row>
    <row r="641" spans="1:19" ht="15.75">
      <c r="A641" s="13">
        <v>61028</v>
      </c>
      <c r="B641" s="8">
        <f>19.5309 * CHOOSE(CONTROL!$C$15, $D$11, 100%, $F$11)</f>
        <v>19.530899999999999</v>
      </c>
      <c r="C641" s="8">
        <f>19.5416 * CHOOSE(CONTROL!$C$15, $D$11, 100%, $F$11)</f>
        <v>19.541599999999999</v>
      </c>
      <c r="D641" s="8">
        <f>19.5232 * CHOOSE( CONTROL!$C$15, $D$11, 100%, $F$11)</f>
        <v>19.523199999999999</v>
      </c>
      <c r="E641" s="12">
        <f>19.5288 * CHOOSE( CONTROL!$C$15, $D$11, 100%, $F$11)</f>
        <v>19.5288</v>
      </c>
      <c r="F641" s="4">
        <f>20.192 * CHOOSE(CONTROL!$C$15, $D$11, 100%, $F$11)</f>
        <v>20.192</v>
      </c>
      <c r="G641" s="8">
        <f>19.0876 * CHOOSE( CONTROL!$C$15, $D$11, 100%, $F$11)</f>
        <v>19.087599999999998</v>
      </c>
      <c r="H641" s="4">
        <f>19.9758 * CHOOSE(CONTROL!$C$15, $D$11, 100%, $F$11)</f>
        <v>19.9758</v>
      </c>
      <c r="I641" s="8">
        <f>18.8658 * CHOOSE(CONTROL!$C$15, $D$11, 100%, $F$11)</f>
        <v>18.8658</v>
      </c>
      <c r="J641" s="4">
        <f>18.7371 * CHOOSE(CONTROL!$C$15, $D$11, 100%, $F$11)</f>
        <v>18.737100000000002</v>
      </c>
      <c r="K641" s="4"/>
      <c r="L641" s="9">
        <v>29.306000000000001</v>
      </c>
      <c r="M641" s="9">
        <v>12.063700000000001</v>
      </c>
      <c r="N641" s="9">
        <v>4.9444999999999997</v>
      </c>
      <c r="O641" s="9">
        <v>0.37409999999999999</v>
      </c>
      <c r="P641" s="9">
        <v>1.2927</v>
      </c>
      <c r="Q641" s="9">
        <v>19.688099999999999</v>
      </c>
      <c r="R641" s="9"/>
      <c r="S641" s="11"/>
    </row>
    <row r="642" spans="1:19" ht="15.75">
      <c r="A642" s="13">
        <v>61056</v>
      </c>
      <c r="B642" s="8">
        <f>18.2692 * CHOOSE(CONTROL!$C$15, $D$11, 100%, $F$11)</f>
        <v>18.269200000000001</v>
      </c>
      <c r="C642" s="8">
        <f>18.28 * CHOOSE(CONTROL!$C$15, $D$11, 100%, $F$11)</f>
        <v>18.28</v>
      </c>
      <c r="D642" s="8">
        <f>18.2614 * CHOOSE( CONTROL!$C$15, $D$11, 100%, $F$11)</f>
        <v>18.261399999999998</v>
      </c>
      <c r="E642" s="12">
        <f>18.2671 * CHOOSE( CONTROL!$C$15, $D$11, 100%, $F$11)</f>
        <v>18.267099999999999</v>
      </c>
      <c r="F642" s="4">
        <f>18.9303 * CHOOSE(CONTROL!$C$15, $D$11, 100%, $F$11)</f>
        <v>18.930299999999999</v>
      </c>
      <c r="G642" s="8">
        <f>17.854 * CHOOSE( CONTROL!$C$15, $D$11, 100%, $F$11)</f>
        <v>17.853999999999999</v>
      </c>
      <c r="H642" s="4">
        <f>18.7423 * CHOOSE(CONTROL!$C$15, $D$11, 100%, $F$11)</f>
        <v>18.7423</v>
      </c>
      <c r="I642" s="8">
        <f>17.6534 * CHOOSE(CONTROL!$C$15, $D$11, 100%, $F$11)</f>
        <v>17.653400000000001</v>
      </c>
      <c r="J642" s="4">
        <f>17.5258 * CHOOSE(CONTROL!$C$15, $D$11, 100%, $F$11)</f>
        <v>17.5258</v>
      </c>
      <c r="K642" s="4"/>
      <c r="L642" s="9">
        <v>26.469899999999999</v>
      </c>
      <c r="M642" s="9">
        <v>10.8962</v>
      </c>
      <c r="N642" s="9">
        <v>4.4660000000000002</v>
      </c>
      <c r="O642" s="9">
        <v>0.33789999999999998</v>
      </c>
      <c r="P642" s="9">
        <v>1.1676</v>
      </c>
      <c r="Q642" s="9">
        <v>17.782800000000002</v>
      </c>
      <c r="R642" s="9"/>
      <c r="S642" s="11"/>
    </row>
    <row r="643" spans="1:19" ht="15.75">
      <c r="A643" s="13">
        <v>61087</v>
      </c>
      <c r="B643" s="8">
        <f>17.8806 * CHOOSE(CONTROL!$C$15, $D$11, 100%, $F$11)</f>
        <v>17.880600000000001</v>
      </c>
      <c r="C643" s="8">
        <f>17.8914 * CHOOSE(CONTROL!$C$15, $D$11, 100%, $F$11)</f>
        <v>17.891400000000001</v>
      </c>
      <c r="D643" s="8">
        <f>17.8723 * CHOOSE( CONTROL!$C$15, $D$11, 100%, $F$11)</f>
        <v>17.872299999999999</v>
      </c>
      <c r="E643" s="12">
        <f>17.8781 * CHOOSE( CONTROL!$C$15, $D$11, 100%, $F$11)</f>
        <v>17.8781</v>
      </c>
      <c r="F643" s="4">
        <f>18.5417 * CHOOSE(CONTROL!$C$15, $D$11, 100%, $F$11)</f>
        <v>18.541699999999999</v>
      </c>
      <c r="G643" s="8">
        <f>17.4737 * CHOOSE( CONTROL!$C$15, $D$11, 100%, $F$11)</f>
        <v>17.473700000000001</v>
      </c>
      <c r="H643" s="4">
        <f>18.3623 * CHOOSE(CONTROL!$C$15, $D$11, 100%, $F$11)</f>
        <v>18.362300000000001</v>
      </c>
      <c r="I643" s="8">
        <f>17.2786 * CHOOSE(CONTROL!$C$15, $D$11, 100%, $F$11)</f>
        <v>17.278600000000001</v>
      </c>
      <c r="J643" s="4">
        <f>17.1527 * CHOOSE(CONTROL!$C$15, $D$11, 100%, $F$11)</f>
        <v>17.152699999999999</v>
      </c>
      <c r="K643" s="4"/>
      <c r="L643" s="9">
        <v>29.306000000000001</v>
      </c>
      <c r="M643" s="9">
        <v>12.063700000000001</v>
      </c>
      <c r="N643" s="9">
        <v>4.9444999999999997</v>
      </c>
      <c r="O643" s="9">
        <v>0.37409999999999999</v>
      </c>
      <c r="P643" s="9">
        <v>1.2927</v>
      </c>
      <c r="Q643" s="9">
        <v>19.688099999999999</v>
      </c>
      <c r="R643" s="9"/>
      <c r="S643" s="11"/>
    </row>
    <row r="644" spans="1:19" ht="15.75">
      <c r="A644" s="13">
        <v>61117</v>
      </c>
      <c r="B644" s="8">
        <f>18.1521 * CHOOSE(CONTROL!$C$15, $D$11, 100%, $F$11)</f>
        <v>18.152100000000001</v>
      </c>
      <c r="C644" s="8">
        <f>18.1629 * CHOOSE(CONTROL!$C$15, $D$11, 100%, $F$11)</f>
        <v>18.1629</v>
      </c>
      <c r="D644" s="8">
        <f>18.1977 * CHOOSE( CONTROL!$C$15, $D$11, 100%, $F$11)</f>
        <v>18.197700000000001</v>
      </c>
      <c r="E644" s="12">
        <f>18.185 * CHOOSE( CONTROL!$C$15, $D$11, 100%, $F$11)</f>
        <v>18.184999999999999</v>
      </c>
      <c r="F644" s="4">
        <f>18.881 * CHOOSE(CONTROL!$C$15, $D$11, 100%, $F$11)</f>
        <v>18.881</v>
      </c>
      <c r="G644" s="8">
        <f>17.7419 * CHOOSE( CONTROL!$C$15, $D$11, 100%, $F$11)</f>
        <v>17.741900000000001</v>
      </c>
      <c r="H644" s="4">
        <f>18.694 * CHOOSE(CONTROL!$C$15, $D$11, 100%, $F$11)</f>
        <v>18.693999999999999</v>
      </c>
      <c r="I644" s="8">
        <f>17.5347 * CHOOSE(CONTROL!$C$15, $D$11, 100%, $F$11)</f>
        <v>17.534700000000001</v>
      </c>
      <c r="J644" s="4">
        <f>17.4134 * CHOOSE(CONTROL!$C$15, $D$11, 100%, $F$11)</f>
        <v>17.413399999999999</v>
      </c>
      <c r="K644" s="4"/>
      <c r="L644" s="9">
        <v>30.092199999999998</v>
      </c>
      <c r="M644" s="9">
        <v>11.6745</v>
      </c>
      <c r="N644" s="9">
        <v>4.7850000000000001</v>
      </c>
      <c r="O644" s="9">
        <v>0.36199999999999999</v>
      </c>
      <c r="P644" s="9">
        <v>1.1791</v>
      </c>
      <c r="Q644" s="9">
        <v>19.053000000000001</v>
      </c>
      <c r="R644" s="9"/>
      <c r="S644" s="11"/>
    </row>
    <row r="645" spans="1:19" ht="15.75">
      <c r="A645" s="13">
        <v>61148</v>
      </c>
      <c r="B645" s="8">
        <f>CHOOSE( CONTROL!$C$32, 18.6376, 18.6353) * CHOOSE(CONTROL!$C$15, $D$11, 100%, $F$11)</f>
        <v>18.637599999999999</v>
      </c>
      <c r="C645" s="8">
        <f>CHOOSE( CONTROL!$C$32, 18.6481, 18.6458) * CHOOSE(CONTROL!$C$15, $D$11, 100%, $F$11)</f>
        <v>18.648099999999999</v>
      </c>
      <c r="D645" s="8">
        <f>CHOOSE( CONTROL!$C$32, 18.682, 18.6797) * CHOOSE( CONTROL!$C$15, $D$11, 100%, $F$11)</f>
        <v>18.681999999999999</v>
      </c>
      <c r="E645" s="12">
        <f>CHOOSE( CONTROL!$C$32, 18.6681, 18.6658) * CHOOSE( CONTROL!$C$15, $D$11, 100%, $F$11)</f>
        <v>18.668099999999999</v>
      </c>
      <c r="F645" s="4">
        <f>CHOOSE( CONTROL!$C$32, 19.3665, 19.3642) * CHOOSE(CONTROL!$C$15, $D$11, 100%, $F$11)</f>
        <v>19.366499999999998</v>
      </c>
      <c r="G645" s="8">
        <f>CHOOSE( CONTROL!$C$32, 18.2172, 18.2149) * CHOOSE( CONTROL!$C$15, $D$11, 100%, $F$11)</f>
        <v>18.217199999999998</v>
      </c>
      <c r="H645" s="4">
        <f>CHOOSE( CONTROL!$C$32, 19.1688, 19.1665) * CHOOSE(CONTROL!$C$15, $D$11, 100%, $F$11)</f>
        <v>19.168800000000001</v>
      </c>
      <c r="I645" s="8">
        <f>CHOOSE( CONTROL!$C$32, 18.0012, 17.999) * CHOOSE(CONTROL!$C$15, $D$11, 100%, $F$11)</f>
        <v>18.001200000000001</v>
      </c>
      <c r="J645" s="4">
        <f>CHOOSE( CONTROL!$C$32, 17.8796, 17.8774) * CHOOSE(CONTROL!$C$15, $D$11, 100%, $F$11)</f>
        <v>17.8796</v>
      </c>
      <c r="K645" s="4"/>
      <c r="L645" s="9">
        <v>30.7165</v>
      </c>
      <c r="M645" s="9">
        <v>12.063700000000001</v>
      </c>
      <c r="N645" s="9">
        <v>4.9444999999999997</v>
      </c>
      <c r="O645" s="9">
        <v>0.37409999999999999</v>
      </c>
      <c r="P645" s="9">
        <v>1.2183999999999999</v>
      </c>
      <c r="Q645" s="9">
        <v>19.688099999999999</v>
      </c>
      <c r="R645" s="9"/>
      <c r="S645" s="11"/>
    </row>
    <row r="646" spans="1:19" ht="15.75">
      <c r="A646" s="13">
        <v>61178</v>
      </c>
      <c r="B646" s="8">
        <f>CHOOSE( CONTROL!$C$32, 18.3382, 18.3359) * CHOOSE(CONTROL!$C$15, $D$11, 100%, $F$11)</f>
        <v>18.338200000000001</v>
      </c>
      <c r="C646" s="8">
        <f>CHOOSE( CONTROL!$C$32, 18.3488, 18.3465) * CHOOSE(CONTROL!$C$15, $D$11, 100%, $F$11)</f>
        <v>18.348800000000001</v>
      </c>
      <c r="D646" s="8">
        <f>CHOOSE( CONTROL!$C$32, 18.3828, 18.3805) * CHOOSE( CONTROL!$C$15, $D$11, 100%, $F$11)</f>
        <v>18.3828</v>
      </c>
      <c r="E646" s="12">
        <f>CHOOSE( CONTROL!$C$32, 18.3689, 18.3666) * CHOOSE( CONTROL!$C$15, $D$11, 100%, $F$11)</f>
        <v>18.3689</v>
      </c>
      <c r="F646" s="4">
        <f>CHOOSE( CONTROL!$C$32, 19.0672, 19.0649) * CHOOSE(CONTROL!$C$15, $D$11, 100%, $F$11)</f>
        <v>19.0672</v>
      </c>
      <c r="G646" s="8">
        <f>CHOOSE( CONTROL!$C$32, 17.9247, 17.9225) * CHOOSE( CONTROL!$C$15, $D$11, 100%, $F$11)</f>
        <v>17.924700000000001</v>
      </c>
      <c r="H646" s="4">
        <f>CHOOSE( CONTROL!$C$32, 18.8761, 18.8738) * CHOOSE(CONTROL!$C$15, $D$11, 100%, $F$11)</f>
        <v>18.876100000000001</v>
      </c>
      <c r="I646" s="8">
        <f>CHOOSE( CONTROL!$C$32, 17.7144, 17.7122) * CHOOSE(CONTROL!$C$15, $D$11, 100%, $F$11)</f>
        <v>17.714400000000001</v>
      </c>
      <c r="J646" s="4">
        <f>CHOOSE( CONTROL!$C$32, 17.5922, 17.59) * CHOOSE(CONTROL!$C$15, $D$11, 100%, $F$11)</f>
        <v>17.592199999999998</v>
      </c>
      <c r="K646" s="4"/>
      <c r="L646" s="9">
        <v>29.7257</v>
      </c>
      <c r="M646" s="9">
        <v>11.6745</v>
      </c>
      <c r="N646" s="9">
        <v>4.7850000000000001</v>
      </c>
      <c r="O646" s="9">
        <v>0.36199999999999999</v>
      </c>
      <c r="P646" s="9">
        <v>1.1791</v>
      </c>
      <c r="Q646" s="9">
        <v>19.053000000000001</v>
      </c>
      <c r="R646" s="9"/>
      <c r="S646" s="11"/>
    </row>
    <row r="647" spans="1:19" ht="15.75">
      <c r="A647" s="13">
        <v>61209</v>
      </c>
      <c r="B647" s="8">
        <f>CHOOSE( CONTROL!$C$32, 19.1266, 19.1243) * CHOOSE(CONTROL!$C$15, $D$11, 100%, $F$11)</f>
        <v>19.1266</v>
      </c>
      <c r="C647" s="8">
        <f>CHOOSE( CONTROL!$C$32, 19.1371, 19.1348) * CHOOSE(CONTROL!$C$15, $D$11, 100%, $F$11)</f>
        <v>19.1371</v>
      </c>
      <c r="D647" s="8">
        <f>CHOOSE( CONTROL!$C$32, 19.1713, 19.169) * CHOOSE( CONTROL!$C$15, $D$11, 100%, $F$11)</f>
        <v>19.171299999999999</v>
      </c>
      <c r="E647" s="12">
        <f>CHOOSE( CONTROL!$C$32, 19.1573, 19.155) * CHOOSE( CONTROL!$C$15, $D$11, 100%, $F$11)</f>
        <v>19.157299999999999</v>
      </c>
      <c r="F647" s="4">
        <f>CHOOSE( CONTROL!$C$32, 19.8555, 19.8532) * CHOOSE(CONTROL!$C$15, $D$11, 100%, $F$11)</f>
        <v>19.855499999999999</v>
      </c>
      <c r="G647" s="8">
        <f>CHOOSE( CONTROL!$C$32, 18.6958, 18.6936) * CHOOSE( CONTROL!$C$15, $D$11, 100%, $F$11)</f>
        <v>18.695799999999998</v>
      </c>
      <c r="H647" s="4">
        <f>CHOOSE( CONTROL!$C$32, 19.6468, 19.6446) * CHOOSE(CONTROL!$C$15, $D$11, 100%, $F$11)</f>
        <v>19.646799999999999</v>
      </c>
      <c r="I647" s="8">
        <f>CHOOSE( CONTROL!$C$32, 18.4727, 18.4705) * CHOOSE(CONTROL!$C$15, $D$11, 100%, $F$11)</f>
        <v>18.4727</v>
      </c>
      <c r="J647" s="4">
        <f>CHOOSE( CONTROL!$C$32, 18.3491, 18.3469) * CHOOSE(CONTROL!$C$15, $D$11, 100%, $F$11)</f>
        <v>18.3491</v>
      </c>
      <c r="K647" s="4"/>
      <c r="L647" s="9">
        <v>30.7165</v>
      </c>
      <c r="M647" s="9">
        <v>12.063700000000001</v>
      </c>
      <c r="N647" s="9">
        <v>4.9444999999999997</v>
      </c>
      <c r="O647" s="9">
        <v>0.37409999999999999</v>
      </c>
      <c r="P647" s="9">
        <v>1.2183999999999999</v>
      </c>
      <c r="Q647" s="9">
        <v>19.688099999999999</v>
      </c>
      <c r="R647" s="9"/>
      <c r="S647" s="11"/>
    </row>
    <row r="648" spans="1:19" ht="15.75">
      <c r="A648" s="13">
        <v>61240</v>
      </c>
      <c r="B648" s="8">
        <f>CHOOSE( CONTROL!$C$32, 17.6515, 17.6492) * CHOOSE(CONTROL!$C$15, $D$11, 100%, $F$11)</f>
        <v>17.651499999999999</v>
      </c>
      <c r="C648" s="8">
        <f>CHOOSE( CONTROL!$C$32, 17.662, 17.6597) * CHOOSE(CONTROL!$C$15, $D$11, 100%, $F$11)</f>
        <v>17.661999999999999</v>
      </c>
      <c r="D648" s="8">
        <f>CHOOSE( CONTROL!$C$32, 17.6963, 17.694) * CHOOSE( CONTROL!$C$15, $D$11, 100%, $F$11)</f>
        <v>17.696300000000001</v>
      </c>
      <c r="E648" s="12">
        <f>CHOOSE( CONTROL!$C$32, 17.6823, 17.68) * CHOOSE( CONTROL!$C$15, $D$11, 100%, $F$11)</f>
        <v>17.682300000000001</v>
      </c>
      <c r="F648" s="4">
        <f>CHOOSE( CONTROL!$C$32, 18.3804, 18.3781) * CHOOSE(CONTROL!$C$15, $D$11, 100%, $F$11)</f>
        <v>18.380400000000002</v>
      </c>
      <c r="G648" s="8">
        <f>CHOOSE( CONTROL!$C$32, 17.2537, 17.2515) * CHOOSE( CONTROL!$C$15, $D$11, 100%, $F$11)</f>
        <v>17.253699999999998</v>
      </c>
      <c r="H648" s="4">
        <f>CHOOSE( CONTROL!$C$32, 18.2046, 18.2024) * CHOOSE(CONTROL!$C$15, $D$11, 100%, $F$11)</f>
        <v>18.204599999999999</v>
      </c>
      <c r="I648" s="8">
        <f>CHOOSE( CONTROL!$C$32, 17.056, 17.0538) * CHOOSE(CONTROL!$C$15, $D$11, 100%, $F$11)</f>
        <v>17.056000000000001</v>
      </c>
      <c r="J648" s="4">
        <f>CHOOSE( CONTROL!$C$32, 16.9328, 16.9306) * CHOOSE(CONTROL!$C$15, $D$11, 100%, $F$11)</f>
        <v>16.9328</v>
      </c>
      <c r="K648" s="4"/>
      <c r="L648" s="9">
        <v>30.7165</v>
      </c>
      <c r="M648" s="9">
        <v>12.063700000000001</v>
      </c>
      <c r="N648" s="9">
        <v>4.9444999999999997</v>
      </c>
      <c r="O648" s="9">
        <v>0.37409999999999999</v>
      </c>
      <c r="P648" s="9">
        <v>1.2183999999999999</v>
      </c>
      <c r="Q648" s="9">
        <v>19.688099999999999</v>
      </c>
      <c r="R648" s="9"/>
      <c r="S648" s="11"/>
    </row>
    <row r="649" spans="1:19" ht="15.75">
      <c r="A649" s="13">
        <v>61270</v>
      </c>
      <c r="B649" s="8">
        <f>CHOOSE( CONTROL!$C$32, 17.2821, 17.2798) * CHOOSE(CONTROL!$C$15, $D$11, 100%, $F$11)</f>
        <v>17.2821</v>
      </c>
      <c r="C649" s="8">
        <f>CHOOSE( CONTROL!$C$32, 17.2927, 17.2904) * CHOOSE(CONTROL!$C$15, $D$11, 100%, $F$11)</f>
        <v>17.2927</v>
      </c>
      <c r="D649" s="8">
        <f>CHOOSE( CONTROL!$C$32, 17.3269, 17.3246) * CHOOSE( CONTROL!$C$15, $D$11, 100%, $F$11)</f>
        <v>17.326899999999998</v>
      </c>
      <c r="E649" s="12">
        <f>CHOOSE( CONTROL!$C$32, 17.3129, 17.3106) * CHOOSE( CONTROL!$C$15, $D$11, 100%, $F$11)</f>
        <v>17.312899999999999</v>
      </c>
      <c r="F649" s="4">
        <f>CHOOSE( CONTROL!$C$32, 18.011, 18.0087) * CHOOSE(CONTROL!$C$15, $D$11, 100%, $F$11)</f>
        <v>18.010999999999999</v>
      </c>
      <c r="G649" s="8">
        <f>CHOOSE( CONTROL!$C$32, 16.8925, 16.8903) * CHOOSE( CONTROL!$C$15, $D$11, 100%, $F$11)</f>
        <v>16.892499999999998</v>
      </c>
      <c r="H649" s="4">
        <f>CHOOSE( CONTROL!$C$32, 17.8435, 17.8412) * CHOOSE(CONTROL!$C$15, $D$11, 100%, $F$11)</f>
        <v>17.843499999999999</v>
      </c>
      <c r="I649" s="8">
        <f>CHOOSE( CONTROL!$C$32, 16.7011, 16.6988) * CHOOSE(CONTROL!$C$15, $D$11, 100%, $F$11)</f>
        <v>16.7011</v>
      </c>
      <c r="J649" s="4">
        <f>CHOOSE( CONTROL!$C$32, 16.5782, 16.576) * CHOOSE(CONTROL!$C$15, $D$11, 100%, $F$11)</f>
        <v>16.578199999999999</v>
      </c>
      <c r="K649" s="4"/>
      <c r="L649" s="9">
        <v>29.7257</v>
      </c>
      <c r="M649" s="9">
        <v>11.6745</v>
      </c>
      <c r="N649" s="9">
        <v>4.7850000000000001</v>
      </c>
      <c r="O649" s="9">
        <v>0.36199999999999999</v>
      </c>
      <c r="P649" s="9">
        <v>1.1791</v>
      </c>
      <c r="Q649" s="9">
        <v>19.053000000000001</v>
      </c>
      <c r="R649" s="9"/>
      <c r="S649" s="11"/>
    </row>
    <row r="650" spans="1:19" ht="15.75">
      <c r="A650" s="13">
        <v>61301</v>
      </c>
      <c r="B650" s="8">
        <f>18.0469 * CHOOSE(CONTROL!$C$15, $D$11, 100%, $F$11)</f>
        <v>18.046900000000001</v>
      </c>
      <c r="C650" s="8">
        <f>18.0576 * CHOOSE(CONTROL!$C$15, $D$11, 100%, $F$11)</f>
        <v>18.057600000000001</v>
      </c>
      <c r="D650" s="8">
        <f>18.093 * CHOOSE( CONTROL!$C$15, $D$11, 100%, $F$11)</f>
        <v>18.093</v>
      </c>
      <c r="E650" s="12">
        <f>18.0802 * CHOOSE( CONTROL!$C$15, $D$11, 100%, $F$11)</f>
        <v>18.080200000000001</v>
      </c>
      <c r="F650" s="4">
        <f>18.7757 * CHOOSE(CONTROL!$C$15, $D$11, 100%, $F$11)</f>
        <v>18.775700000000001</v>
      </c>
      <c r="G650" s="8">
        <f>17.6399 * CHOOSE( CONTROL!$C$15, $D$11, 100%, $F$11)</f>
        <v>17.639900000000001</v>
      </c>
      <c r="H650" s="4">
        <f>18.5911 * CHOOSE(CONTROL!$C$15, $D$11, 100%, $F$11)</f>
        <v>18.591100000000001</v>
      </c>
      <c r="I650" s="8">
        <f>17.4365 * CHOOSE(CONTROL!$C$15, $D$11, 100%, $F$11)</f>
        <v>17.436499999999999</v>
      </c>
      <c r="J650" s="4">
        <f>17.3124 * CHOOSE(CONTROL!$C$15, $D$11, 100%, $F$11)</f>
        <v>17.3124</v>
      </c>
      <c r="K650" s="4"/>
      <c r="L650" s="9">
        <v>31.095300000000002</v>
      </c>
      <c r="M650" s="9">
        <v>12.063700000000001</v>
      </c>
      <c r="N650" s="9">
        <v>4.9444999999999997</v>
      </c>
      <c r="O650" s="9">
        <v>0.37409999999999999</v>
      </c>
      <c r="P650" s="9">
        <v>1.2183999999999999</v>
      </c>
      <c r="Q650" s="9">
        <v>19.688099999999999</v>
      </c>
      <c r="R650" s="9"/>
      <c r="S650" s="11"/>
    </row>
    <row r="651" spans="1:19" ht="15.75">
      <c r="A651" s="13">
        <v>61331</v>
      </c>
      <c r="B651" s="8">
        <f>19.4626 * CHOOSE(CONTROL!$C$15, $D$11, 100%, $F$11)</f>
        <v>19.462599999999998</v>
      </c>
      <c r="C651" s="8">
        <f>19.4733 * CHOOSE(CONTROL!$C$15, $D$11, 100%, $F$11)</f>
        <v>19.473299999999998</v>
      </c>
      <c r="D651" s="8">
        <f>19.4494 * CHOOSE( CONTROL!$C$15, $D$11, 100%, $F$11)</f>
        <v>19.449400000000001</v>
      </c>
      <c r="E651" s="12">
        <f>19.457 * CHOOSE( CONTROL!$C$15, $D$11, 100%, $F$11)</f>
        <v>19.457000000000001</v>
      </c>
      <c r="F651" s="4">
        <f>20.1237 * CHOOSE(CONTROL!$C$15, $D$11, 100%, $F$11)</f>
        <v>20.123699999999999</v>
      </c>
      <c r="G651" s="8">
        <f>19.024 * CHOOSE( CONTROL!$C$15, $D$11, 100%, $F$11)</f>
        <v>19.024000000000001</v>
      </c>
      <c r="H651" s="4">
        <f>19.909 * CHOOSE(CONTROL!$C$15, $D$11, 100%, $F$11)</f>
        <v>19.908999999999999</v>
      </c>
      <c r="I651" s="8">
        <f>18.8397 * CHOOSE(CONTROL!$C$15, $D$11, 100%, $F$11)</f>
        <v>18.839700000000001</v>
      </c>
      <c r="J651" s="4">
        <f>18.6715 * CHOOSE(CONTROL!$C$15, $D$11, 100%, $F$11)</f>
        <v>18.671500000000002</v>
      </c>
      <c r="K651" s="4"/>
      <c r="L651" s="9">
        <v>28.360600000000002</v>
      </c>
      <c r="M651" s="9">
        <v>11.6745</v>
      </c>
      <c r="N651" s="9">
        <v>4.7850000000000001</v>
      </c>
      <c r="O651" s="9">
        <v>0.36199999999999999</v>
      </c>
      <c r="P651" s="9">
        <v>1.2509999999999999</v>
      </c>
      <c r="Q651" s="9">
        <v>19.053000000000001</v>
      </c>
      <c r="R651" s="9"/>
      <c r="S651" s="11"/>
    </row>
    <row r="652" spans="1:19" ht="15.75">
      <c r="A652" s="13">
        <v>61362</v>
      </c>
      <c r="B652" s="8">
        <f>19.4272 * CHOOSE(CONTROL!$C$15, $D$11, 100%, $F$11)</f>
        <v>19.427199999999999</v>
      </c>
      <c r="C652" s="8">
        <f>19.4379 * CHOOSE(CONTROL!$C$15, $D$11, 100%, $F$11)</f>
        <v>19.437899999999999</v>
      </c>
      <c r="D652" s="8">
        <f>19.4157 * CHOOSE( CONTROL!$C$15, $D$11, 100%, $F$11)</f>
        <v>19.415700000000001</v>
      </c>
      <c r="E652" s="12">
        <f>19.4227 * CHOOSE( CONTROL!$C$15, $D$11, 100%, $F$11)</f>
        <v>19.422699999999999</v>
      </c>
      <c r="F652" s="4">
        <f>20.0883 * CHOOSE(CONTROL!$C$15, $D$11, 100%, $F$11)</f>
        <v>20.0883</v>
      </c>
      <c r="G652" s="8">
        <f>18.9907 * CHOOSE( CONTROL!$C$15, $D$11, 100%, $F$11)</f>
        <v>18.9907</v>
      </c>
      <c r="H652" s="4">
        <f>19.8744 * CHOOSE(CONTROL!$C$15, $D$11, 100%, $F$11)</f>
        <v>19.874400000000001</v>
      </c>
      <c r="I652" s="8">
        <f>18.8109 * CHOOSE(CONTROL!$C$15, $D$11, 100%, $F$11)</f>
        <v>18.8109</v>
      </c>
      <c r="J652" s="4">
        <f>18.6376 * CHOOSE(CONTROL!$C$15, $D$11, 100%, $F$11)</f>
        <v>18.637599999999999</v>
      </c>
      <c r="K652" s="4"/>
      <c r="L652" s="9">
        <v>29.306000000000001</v>
      </c>
      <c r="M652" s="9">
        <v>12.063700000000001</v>
      </c>
      <c r="N652" s="9">
        <v>4.9444999999999997</v>
      </c>
      <c r="O652" s="9">
        <v>0.37409999999999999</v>
      </c>
      <c r="P652" s="9">
        <v>1.2927</v>
      </c>
      <c r="Q652" s="9">
        <v>19.688099999999999</v>
      </c>
      <c r="R652" s="9"/>
      <c r="S652" s="11"/>
    </row>
    <row r="653" spans="1:19" ht="15.75">
      <c r="A653" s="13">
        <v>61393</v>
      </c>
      <c r="B653" s="8">
        <f>19.9998 * CHOOSE(CONTROL!$C$15, $D$11, 100%, $F$11)</f>
        <v>19.9998</v>
      </c>
      <c r="C653" s="8">
        <f>20.0105 * CHOOSE(CONTROL!$C$15, $D$11, 100%, $F$11)</f>
        <v>20.0105</v>
      </c>
      <c r="D653" s="8">
        <f>19.9921 * CHOOSE( CONTROL!$C$15, $D$11, 100%, $F$11)</f>
        <v>19.992100000000001</v>
      </c>
      <c r="E653" s="12">
        <f>19.9977 * CHOOSE( CONTROL!$C$15, $D$11, 100%, $F$11)</f>
        <v>19.997699999999998</v>
      </c>
      <c r="F653" s="4">
        <f>20.6609 * CHOOSE(CONTROL!$C$15, $D$11, 100%, $F$11)</f>
        <v>20.660900000000002</v>
      </c>
      <c r="G653" s="8">
        <f>19.5461 * CHOOSE( CONTROL!$C$15, $D$11, 100%, $F$11)</f>
        <v>19.546099999999999</v>
      </c>
      <c r="H653" s="4">
        <f>20.4342 * CHOOSE(CONTROL!$C$15, $D$11, 100%, $F$11)</f>
        <v>20.434200000000001</v>
      </c>
      <c r="I653" s="8">
        <f>19.3163 * CHOOSE(CONTROL!$C$15, $D$11, 100%, $F$11)</f>
        <v>19.316299999999998</v>
      </c>
      <c r="J653" s="4">
        <f>19.1873 * CHOOSE(CONTROL!$C$15, $D$11, 100%, $F$11)</f>
        <v>19.1873</v>
      </c>
      <c r="K653" s="4"/>
      <c r="L653" s="9">
        <v>29.306000000000001</v>
      </c>
      <c r="M653" s="9">
        <v>12.063700000000001</v>
      </c>
      <c r="N653" s="9">
        <v>4.9444999999999997</v>
      </c>
      <c r="O653" s="9">
        <v>0.37409999999999999</v>
      </c>
      <c r="P653" s="9">
        <v>1.2927</v>
      </c>
      <c r="Q653" s="9">
        <v>19.688099999999999</v>
      </c>
      <c r="R653" s="9"/>
      <c r="S653" s="11"/>
    </row>
    <row r="654" spans="1:19" ht="15.75">
      <c r="A654" s="13">
        <v>61422</v>
      </c>
      <c r="B654" s="8">
        <f>18.7078 * CHOOSE(CONTROL!$C$15, $D$11, 100%, $F$11)</f>
        <v>18.707799999999999</v>
      </c>
      <c r="C654" s="8">
        <f>18.7186 * CHOOSE(CONTROL!$C$15, $D$11, 100%, $F$11)</f>
        <v>18.718599999999999</v>
      </c>
      <c r="D654" s="8">
        <f>18.7 * CHOOSE( CONTROL!$C$15, $D$11, 100%, $F$11)</f>
        <v>18.7</v>
      </c>
      <c r="E654" s="12">
        <f>18.7057 * CHOOSE( CONTROL!$C$15, $D$11, 100%, $F$11)</f>
        <v>18.7057</v>
      </c>
      <c r="F654" s="4">
        <f>19.3689 * CHOOSE(CONTROL!$C$15, $D$11, 100%, $F$11)</f>
        <v>19.3689</v>
      </c>
      <c r="G654" s="8">
        <f>18.2828 * CHOOSE( CONTROL!$C$15, $D$11, 100%, $F$11)</f>
        <v>18.282800000000002</v>
      </c>
      <c r="H654" s="4">
        <f>19.1711 * CHOOSE(CONTROL!$C$15, $D$11, 100%, $F$11)</f>
        <v>19.171099999999999</v>
      </c>
      <c r="I654" s="8">
        <f>18.0747 * CHOOSE(CONTROL!$C$15, $D$11, 100%, $F$11)</f>
        <v>18.0747</v>
      </c>
      <c r="J654" s="4">
        <f>17.9469 * CHOOSE(CONTROL!$C$15, $D$11, 100%, $F$11)</f>
        <v>17.946899999999999</v>
      </c>
      <c r="K654" s="4"/>
      <c r="L654" s="9">
        <v>27.415299999999998</v>
      </c>
      <c r="M654" s="9">
        <v>11.285299999999999</v>
      </c>
      <c r="N654" s="9">
        <v>4.6254999999999997</v>
      </c>
      <c r="O654" s="9">
        <v>0.34989999999999999</v>
      </c>
      <c r="P654" s="9">
        <v>1.2093</v>
      </c>
      <c r="Q654" s="9">
        <v>18.417899999999999</v>
      </c>
      <c r="R654" s="9"/>
      <c r="S654" s="11"/>
    </row>
    <row r="655" spans="1:19" ht="15.75">
      <c r="A655" s="13">
        <v>61453</v>
      </c>
      <c r="B655" s="8">
        <f>18.3099 * CHOOSE(CONTROL!$C$15, $D$11, 100%, $F$11)</f>
        <v>18.309899999999999</v>
      </c>
      <c r="C655" s="8">
        <f>18.3206 * CHOOSE(CONTROL!$C$15, $D$11, 100%, $F$11)</f>
        <v>18.320599999999999</v>
      </c>
      <c r="D655" s="8">
        <f>18.3016 * CHOOSE( CONTROL!$C$15, $D$11, 100%, $F$11)</f>
        <v>18.301600000000001</v>
      </c>
      <c r="E655" s="12">
        <f>18.3074 * CHOOSE( CONTROL!$C$15, $D$11, 100%, $F$11)</f>
        <v>18.307400000000001</v>
      </c>
      <c r="F655" s="4">
        <f>18.971 * CHOOSE(CONTROL!$C$15, $D$11, 100%, $F$11)</f>
        <v>18.971</v>
      </c>
      <c r="G655" s="8">
        <f>17.8934 * CHOOSE( CONTROL!$C$15, $D$11, 100%, $F$11)</f>
        <v>17.8934</v>
      </c>
      <c r="H655" s="4">
        <f>18.782 * CHOOSE(CONTROL!$C$15, $D$11, 100%, $F$11)</f>
        <v>18.782</v>
      </c>
      <c r="I655" s="8">
        <f>17.691 * CHOOSE(CONTROL!$C$15, $D$11, 100%, $F$11)</f>
        <v>17.690999999999999</v>
      </c>
      <c r="J655" s="4">
        <f>17.5648 * CHOOSE(CONTROL!$C$15, $D$11, 100%, $F$11)</f>
        <v>17.564800000000002</v>
      </c>
      <c r="K655" s="4"/>
      <c r="L655" s="9">
        <v>29.306000000000001</v>
      </c>
      <c r="M655" s="9">
        <v>12.063700000000001</v>
      </c>
      <c r="N655" s="9">
        <v>4.9444999999999997</v>
      </c>
      <c r="O655" s="9">
        <v>0.37409999999999999</v>
      </c>
      <c r="P655" s="9">
        <v>1.2927</v>
      </c>
      <c r="Q655" s="9">
        <v>19.688099999999999</v>
      </c>
      <c r="R655" s="9"/>
      <c r="S655" s="11"/>
    </row>
    <row r="656" spans="1:19" ht="15.75">
      <c r="A656" s="13">
        <v>61483</v>
      </c>
      <c r="B656" s="8">
        <f>18.5879 * CHOOSE(CONTROL!$C$15, $D$11, 100%, $F$11)</f>
        <v>18.587900000000001</v>
      </c>
      <c r="C656" s="8">
        <f>18.5987 * CHOOSE(CONTROL!$C$15, $D$11, 100%, $F$11)</f>
        <v>18.598700000000001</v>
      </c>
      <c r="D656" s="8">
        <f>18.6334 * CHOOSE( CONTROL!$C$15, $D$11, 100%, $F$11)</f>
        <v>18.633400000000002</v>
      </c>
      <c r="E656" s="12">
        <f>18.6207 * CHOOSE( CONTROL!$C$15, $D$11, 100%, $F$11)</f>
        <v>18.620699999999999</v>
      </c>
      <c r="F656" s="4">
        <f>19.3167 * CHOOSE(CONTROL!$C$15, $D$11, 100%, $F$11)</f>
        <v>19.316700000000001</v>
      </c>
      <c r="G656" s="8">
        <f>18.168 * CHOOSE( CONTROL!$C$15, $D$11, 100%, $F$11)</f>
        <v>18.167999999999999</v>
      </c>
      <c r="H656" s="4">
        <f>19.1201 * CHOOSE(CONTROL!$C$15, $D$11, 100%, $F$11)</f>
        <v>19.120100000000001</v>
      </c>
      <c r="I656" s="8">
        <f>17.9533 * CHOOSE(CONTROL!$C$15, $D$11, 100%, $F$11)</f>
        <v>17.953299999999999</v>
      </c>
      <c r="J656" s="4">
        <f>17.8318 * CHOOSE(CONTROL!$C$15, $D$11, 100%, $F$11)</f>
        <v>17.831800000000001</v>
      </c>
      <c r="K656" s="4"/>
      <c r="L656" s="9">
        <v>30.092199999999998</v>
      </c>
      <c r="M656" s="9">
        <v>11.6745</v>
      </c>
      <c r="N656" s="9">
        <v>4.7850000000000001</v>
      </c>
      <c r="O656" s="9">
        <v>0.36199999999999999</v>
      </c>
      <c r="P656" s="9">
        <v>1.1791</v>
      </c>
      <c r="Q656" s="9">
        <v>19.053000000000001</v>
      </c>
      <c r="R656" s="9"/>
      <c r="S656" s="11"/>
    </row>
    <row r="657" spans="1:19" ht="15.75">
      <c r="A657" s="13">
        <v>61514</v>
      </c>
      <c r="B657" s="8">
        <f>CHOOSE( CONTROL!$C$32, 19.085, 19.0827) * CHOOSE(CONTROL!$C$15, $D$11, 100%, $F$11)</f>
        <v>19.085000000000001</v>
      </c>
      <c r="C657" s="8">
        <f>CHOOSE( CONTROL!$C$32, 19.0955, 19.0932) * CHOOSE(CONTROL!$C$15, $D$11, 100%, $F$11)</f>
        <v>19.095500000000001</v>
      </c>
      <c r="D657" s="8">
        <f>CHOOSE( CONTROL!$C$32, 19.1294, 19.1271) * CHOOSE( CONTROL!$C$15, $D$11, 100%, $F$11)</f>
        <v>19.1294</v>
      </c>
      <c r="E657" s="12">
        <f>CHOOSE( CONTROL!$C$32, 19.1155, 19.1132) * CHOOSE( CONTROL!$C$15, $D$11, 100%, $F$11)</f>
        <v>19.115500000000001</v>
      </c>
      <c r="F657" s="4">
        <f>CHOOSE( CONTROL!$C$32, 19.8139, 19.8116) * CHOOSE(CONTROL!$C$15, $D$11, 100%, $F$11)</f>
        <v>19.8139</v>
      </c>
      <c r="G657" s="8">
        <f>CHOOSE( CONTROL!$C$32, 18.6546, 18.6524) * CHOOSE( CONTROL!$C$15, $D$11, 100%, $F$11)</f>
        <v>18.654599999999999</v>
      </c>
      <c r="H657" s="4">
        <f>CHOOSE( CONTROL!$C$32, 19.6062, 19.6039) * CHOOSE(CONTROL!$C$15, $D$11, 100%, $F$11)</f>
        <v>19.606200000000001</v>
      </c>
      <c r="I657" s="8">
        <f>CHOOSE( CONTROL!$C$32, 18.431, 18.4288) * CHOOSE(CONTROL!$C$15, $D$11, 100%, $F$11)</f>
        <v>18.431000000000001</v>
      </c>
      <c r="J657" s="4">
        <f>CHOOSE( CONTROL!$C$32, 18.3092, 18.307) * CHOOSE(CONTROL!$C$15, $D$11, 100%, $F$11)</f>
        <v>18.309200000000001</v>
      </c>
      <c r="K657" s="4"/>
      <c r="L657" s="9">
        <v>30.7165</v>
      </c>
      <c r="M657" s="9">
        <v>12.063700000000001</v>
      </c>
      <c r="N657" s="9">
        <v>4.9444999999999997</v>
      </c>
      <c r="O657" s="9">
        <v>0.37409999999999999</v>
      </c>
      <c r="P657" s="9">
        <v>1.2183999999999999</v>
      </c>
      <c r="Q657" s="9">
        <v>19.688099999999999</v>
      </c>
      <c r="R657" s="9"/>
      <c r="S657" s="11"/>
    </row>
    <row r="658" spans="1:19" ht="15.75">
      <c r="A658" s="13">
        <v>61544</v>
      </c>
      <c r="B658" s="8">
        <f>CHOOSE( CONTROL!$C$32, 18.7784, 18.7761) * CHOOSE(CONTROL!$C$15, $D$11, 100%, $F$11)</f>
        <v>18.778400000000001</v>
      </c>
      <c r="C658" s="8">
        <f>CHOOSE( CONTROL!$C$32, 18.789, 18.7867) * CHOOSE(CONTROL!$C$15, $D$11, 100%, $F$11)</f>
        <v>18.789000000000001</v>
      </c>
      <c r="D658" s="8">
        <f>CHOOSE( CONTROL!$C$32, 18.823, 18.8207) * CHOOSE( CONTROL!$C$15, $D$11, 100%, $F$11)</f>
        <v>18.823</v>
      </c>
      <c r="E658" s="12">
        <f>CHOOSE( CONTROL!$C$32, 18.8091, 18.8068) * CHOOSE( CONTROL!$C$15, $D$11, 100%, $F$11)</f>
        <v>18.809100000000001</v>
      </c>
      <c r="F658" s="4">
        <f>CHOOSE( CONTROL!$C$32, 19.5074, 19.5051) * CHOOSE(CONTROL!$C$15, $D$11, 100%, $F$11)</f>
        <v>19.507400000000001</v>
      </c>
      <c r="G658" s="8">
        <f>CHOOSE( CONTROL!$C$32, 18.3551, 18.3529) * CHOOSE( CONTROL!$C$15, $D$11, 100%, $F$11)</f>
        <v>18.3551</v>
      </c>
      <c r="H658" s="4">
        <f>CHOOSE( CONTROL!$C$32, 19.3065, 19.3042) * CHOOSE(CONTROL!$C$15, $D$11, 100%, $F$11)</f>
        <v>19.3065</v>
      </c>
      <c r="I658" s="8">
        <f>CHOOSE( CONTROL!$C$32, 18.1373, 18.1351) * CHOOSE(CONTROL!$C$15, $D$11, 100%, $F$11)</f>
        <v>18.1373</v>
      </c>
      <c r="J658" s="4">
        <f>CHOOSE( CONTROL!$C$32, 18.0148, 18.0126) * CHOOSE(CONTROL!$C$15, $D$11, 100%, $F$11)</f>
        <v>18.014800000000001</v>
      </c>
      <c r="K658" s="4"/>
      <c r="L658" s="9">
        <v>29.7257</v>
      </c>
      <c r="M658" s="9">
        <v>11.6745</v>
      </c>
      <c r="N658" s="9">
        <v>4.7850000000000001</v>
      </c>
      <c r="O658" s="9">
        <v>0.36199999999999999</v>
      </c>
      <c r="P658" s="9">
        <v>1.1791</v>
      </c>
      <c r="Q658" s="9">
        <v>19.053000000000001</v>
      </c>
      <c r="R658" s="9"/>
      <c r="S658" s="11"/>
    </row>
    <row r="659" spans="1:19" ht="15.75">
      <c r="A659" s="13">
        <v>61575</v>
      </c>
      <c r="B659" s="8">
        <f>CHOOSE( CONTROL!$C$32, 19.5857, 19.5834) * CHOOSE(CONTROL!$C$15, $D$11, 100%, $F$11)</f>
        <v>19.585699999999999</v>
      </c>
      <c r="C659" s="8">
        <f>CHOOSE( CONTROL!$C$32, 19.5963, 19.594) * CHOOSE(CONTROL!$C$15, $D$11, 100%, $F$11)</f>
        <v>19.596299999999999</v>
      </c>
      <c r="D659" s="8">
        <f>CHOOSE( CONTROL!$C$32, 19.6305, 19.6282) * CHOOSE( CONTROL!$C$15, $D$11, 100%, $F$11)</f>
        <v>19.630500000000001</v>
      </c>
      <c r="E659" s="12">
        <f>CHOOSE( CONTROL!$C$32, 19.6165, 19.6142) * CHOOSE( CONTROL!$C$15, $D$11, 100%, $F$11)</f>
        <v>19.616499999999998</v>
      </c>
      <c r="F659" s="4">
        <f>CHOOSE( CONTROL!$C$32, 20.3147, 20.3124) * CHOOSE(CONTROL!$C$15, $D$11, 100%, $F$11)</f>
        <v>20.314699999999998</v>
      </c>
      <c r="G659" s="8">
        <f>CHOOSE( CONTROL!$C$32, 19.1447, 19.1425) * CHOOSE( CONTROL!$C$15, $D$11, 100%, $F$11)</f>
        <v>19.1447</v>
      </c>
      <c r="H659" s="4">
        <f>CHOOSE( CONTROL!$C$32, 20.0957, 20.0935) * CHOOSE(CONTROL!$C$15, $D$11, 100%, $F$11)</f>
        <v>20.095700000000001</v>
      </c>
      <c r="I659" s="8">
        <f>CHOOSE( CONTROL!$C$32, 18.9137, 18.9115) * CHOOSE(CONTROL!$C$15, $D$11, 100%, $F$11)</f>
        <v>18.913699999999999</v>
      </c>
      <c r="J659" s="4">
        <f>CHOOSE( CONTROL!$C$32, 18.7899, 18.7877) * CHOOSE(CONTROL!$C$15, $D$11, 100%, $F$11)</f>
        <v>18.789899999999999</v>
      </c>
      <c r="K659" s="4"/>
      <c r="L659" s="9">
        <v>30.7165</v>
      </c>
      <c r="M659" s="9">
        <v>12.063700000000001</v>
      </c>
      <c r="N659" s="9">
        <v>4.9444999999999997</v>
      </c>
      <c r="O659" s="9">
        <v>0.37409999999999999</v>
      </c>
      <c r="P659" s="9">
        <v>1.2183999999999999</v>
      </c>
      <c r="Q659" s="9">
        <v>19.688099999999999</v>
      </c>
      <c r="R659" s="9"/>
      <c r="S659" s="11"/>
    </row>
    <row r="660" spans="1:19" ht="15.75">
      <c r="A660" s="13">
        <v>61606</v>
      </c>
      <c r="B660" s="8">
        <f>CHOOSE( CONTROL!$C$32, 18.0752, 18.0729) * CHOOSE(CONTROL!$C$15, $D$11, 100%, $F$11)</f>
        <v>18.075199999999999</v>
      </c>
      <c r="C660" s="8">
        <f>CHOOSE( CONTROL!$C$32, 18.0857, 18.0834) * CHOOSE(CONTROL!$C$15, $D$11, 100%, $F$11)</f>
        <v>18.085699999999999</v>
      </c>
      <c r="D660" s="8">
        <f>CHOOSE( CONTROL!$C$32, 18.12, 18.1177) * CHOOSE( CONTROL!$C$15, $D$11, 100%, $F$11)</f>
        <v>18.12</v>
      </c>
      <c r="E660" s="12">
        <f>CHOOSE( CONTROL!$C$32, 18.106, 18.1037) * CHOOSE( CONTROL!$C$15, $D$11, 100%, $F$11)</f>
        <v>18.106000000000002</v>
      </c>
      <c r="F660" s="4">
        <f>CHOOSE( CONTROL!$C$32, 18.8041, 18.8018) * CHOOSE(CONTROL!$C$15, $D$11, 100%, $F$11)</f>
        <v>18.804099999999998</v>
      </c>
      <c r="G660" s="8">
        <f>CHOOSE( CONTROL!$C$32, 17.668, 17.6657) * CHOOSE( CONTROL!$C$15, $D$11, 100%, $F$11)</f>
        <v>17.667999999999999</v>
      </c>
      <c r="H660" s="4">
        <f>CHOOSE( CONTROL!$C$32, 18.6189, 18.6166) * CHOOSE(CONTROL!$C$15, $D$11, 100%, $F$11)</f>
        <v>18.6189</v>
      </c>
      <c r="I660" s="8">
        <f>CHOOSE( CONTROL!$C$32, 17.463, 17.4608) * CHOOSE(CONTROL!$C$15, $D$11, 100%, $F$11)</f>
        <v>17.463000000000001</v>
      </c>
      <c r="J660" s="4">
        <f>CHOOSE( CONTROL!$C$32, 17.3396, 17.3374) * CHOOSE(CONTROL!$C$15, $D$11, 100%, $F$11)</f>
        <v>17.339600000000001</v>
      </c>
      <c r="K660" s="4"/>
      <c r="L660" s="9">
        <v>30.7165</v>
      </c>
      <c r="M660" s="9">
        <v>12.063700000000001</v>
      </c>
      <c r="N660" s="9">
        <v>4.9444999999999997</v>
      </c>
      <c r="O660" s="9">
        <v>0.37409999999999999</v>
      </c>
      <c r="P660" s="9">
        <v>1.2183999999999999</v>
      </c>
      <c r="Q660" s="9">
        <v>19.688099999999999</v>
      </c>
      <c r="R660" s="9"/>
      <c r="S660" s="11"/>
    </row>
    <row r="661" spans="1:19" ht="15.75">
      <c r="A661" s="13">
        <v>61636</v>
      </c>
      <c r="B661" s="8">
        <f>CHOOSE( CONTROL!$C$32, 17.6969, 17.6946) * CHOOSE(CONTROL!$C$15, $D$11, 100%, $F$11)</f>
        <v>17.696899999999999</v>
      </c>
      <c r="C661" s="8">
        <f>CHOOSE( CONTROL!$C$32, 17.7075, 17.7052) * CHOOSE(CONTROL!$C$15, $D$11, 100%, $F$11)</f>
        <v>17.7075</v>
      </c>
      <c r="D661" s="8">
        <f>CHOOSE( CONTROL!$C$32, 17.7417, 17.7394) * CHOOSE( CONTROL!$C$15, $D$11, 100%, $F$11)</f>
        <v>17.741700000000002</v>
      </c>
      <c r="E661" s="12">
        <f>CHOOSE( CONTROL!$C$32, 17.7277, 17.7254) * CHOOSE( CONTROL!$C$15, $D$11, 100%, $F$11)</f>
        <v>17.727699999999999</v>
      </c>
      <c r="F661" s="4">
        <f>CHOOSE( CONTROL!$C$32, 18.4259, 18.4236) * CHOOSE(CONTROL!$C$15, $D$11, 100%, $F$11)</f>
        <v>18.425899999999999</v>
      </c>
      <c r="G661" s="8">
        <f>CHOOSE( CONTROL!$C$32, 17.2981, 17.2958) * CHOOSE( CONTROL!$C$15, $D$11, 100%, $F$11)</f>
        <v>17.298100000000002</v>
      </c>
      <c r="H661" s="4">
        <f>CHOOSE( CONTROL!$C$32, 18.2491, 18.2468) * CHOOSE(CONTROL!$C$15, $D$11, 100%, $F$11)</f>
        <v>18.249099999999999</v>
      </c>
      <c r="I661" s="8">
        <f>CHOOSE( CONTROL!$C$32, 17.0995, 17.0973) * CHOOSE(CONTROL!$C$15, $D$11, 100%, $F$11)</f>
        <v>17.099499999999999</v>
      </c>
      <c r="J661" s="4">
        <f>CHOOSE( CONTROL!$C$32, 16.9765, 16.9743) * CHOOSE(CONTROL!$C$15, $D$11, 100%, $F$11)</f>
        <v>16.976500000000001</v>
      </c>
      <c r="K661" s="4"/>
      <c r="L661" s="9">
        <v>29.7257</v>
      </c>
      <c r="M661" s="9">
        <v>11.6745</v>
      </c>
      <c r="N661" s="9">
        <v>4.7850000000000001</v>
      </c>
      <c r="O661" s="9">
        <v>0.36199999999999999</v>
      </c>
      <c r="P661" s="9">
        <v>1.1791</v>
      </c>
      <c r="Q661" s="9">
        <v>19.053000000000001</v>
      </c>
      <c r="R661" s="9"/>
      <c r="S661" s="11"/>
    </row>
    <row r="662" spans="1:19" ht="15.75">
      <c r="A662" s="13">
        <v>61667</v>
      </c>
      <c r="B662" s="8">
        <f>18.4801 * CHOOSE(CONTROL!$C$15, $D$11, 100%, $F$11)</f>
        <v>18.4801</v>
      </c>
      <c r="C662" s="8">
        <f>18.4909 * CHOOSE(CONTROL!$C$15, $D$11, 100%, $F$11)</f>
        <v>18.4909</v>
      </c>
      <c r="D662" s="8">
        <f>18.5263 * CHOOSE( CONTROL!$C$15, $D$11, 100%, $F$11)</f>
        <v>18.526299999999999</v>
      </c>
      <c r="E662" s="12">
        <f>18.5135 * CHOOSE( CONTROL!$C$15, $D$11, 100%, $F$11)</f>
        <v>18.513500000000001</v>
      </c>
      <c r="F662" s="4">
        <f>19.209 * CHOOSE(CONTROL!$C$15, $D$11, 100%, $F$11)</f>
        <v>19.209</v>
      </c>
      <c r="G662" s="8">
        <f>18.0635 * CHOOSE( CONTROL!$C$15, $D$11, 100%, $F$11)</f>
        <v>18.063500000000001</v>
      </c>
      <c r="H662" s="4">
        <f>19.0147 * CHOOSE(CONTROL!$C$15, $D$11, 100%, $F$11)</f>
        <v>19.014700000000001</v>
      </c>
      <c r="I662" s="8">
        <f>17.8526 * CHOOSE(CONTROL!$C$15, $D$11, 100%, $F$11)</f>
        <v>17.852599999999999</v>
      </c>
      <c r="J662" s="4">
        <f>17.7283 * CHOOSE(CONTROL!$C$15, $D$11, 100%, $F$11)</f>
        <v>17.728300000000001</v>
      </c>
      <c r="K662" s="4"/>
      <c r="L662" s="9">
        <v>31.095300000000002</v>
      </c>
      <c r="M662" s="9">
        <v>12.063700000000001</v>
      </c>
      <c r="N662" s="9">
        <v>4.9444999999999997</v>
      </c>
      <c r="O662" s="9">
        <v>0.37409999999999999</v>
      </c>
      <c r="P662" s="9">
        <v>1.2183999999999999</v>
      </c>
      <c r="Q662" s="9">
        <v>19.688099999999999</v>
      </c>
      <c r="R662" s="9"/>
      <c r="S662" s="11"/>
    </row>
    <row r="663" spans="1:19" ht="15.75">
      <c r="A663" s="13">
        <v>61697</v>
      </c>
      <c r="B663" s="8">
        <f>19.9298 * CHOOSE(CONTROL!$C$15, $D$11, 100%, $F$11)</f>
        <v>19.9298</v>
      </c>
      <c r="C663" s="8">
        <f>19.9406 * CHOOSE(CONTROL!$C$15, $D$11, 100%, $F$11)</f>
        <v>19.9406</v>
      </c>
      <c r="D663" s="8">
        <f>19.9166 * CHOOSE( CONTROL!$C$15, $D$11, 100%, $F$11)</f>
        <v>19.916599999999999</v>
      </c>
      <c r="E663" s="12">
        <f>19.9242 * CHOOSE( CONTROL!$C$15, $D$11, 100%, $F$11)</f>
        <v>19.924199999999999</v>
      </c>
      <c r="F663" s="4">
        <f>20.5909 * CHOOSE(CONTROL!$C$15, $D$11, 100%, $F$11)</f>
        <v>20.590900000000001</v>
      </c>
      <c r="G663" s="8">
        <f>19.4809 * CHOOSE( CONTROL!$C$15, $D$11, 100%, $F$11)</f>
        <v>19.480899999999998</v>
      </c>
      <c r="H663" s="4">
        <f>20.3659 * CHOOSE(CONTROL!$C$15, $D$11, 100%, $F$11)</f>
        <v>20.3659</v>
      </c>
      <c r="I663" s="8">
        <f>19.2885 * CHOOSE(CONTROL!$C$15, $D$11, 100%, $F$11)</f>
        <v>19.288499999999999</v>
      </c>
      <c r="J663" s="4">
        <f>19.1202 * CHOOSE(CONTROL!$C$15, $D$11, 100%, $F$11)</f>
        <v>19.120200000000001</v>
      </c>
      <c r="K663" s="4"/>
      <c r="L663" s="9">
        <v>28.360600000000002</v>
      </c>
      <c r="M663" s="9">
        <v>11.6745</v>
      </c>
      <c r="N663" s="9">
        <v>4.7850000000000001</v>
      </c>
      <c r="O663" s="9">
        <v>0.36199999999999999</v>
      </c>
      <c r="P663" s="9">
        <v>1.2509999999999999</v>
      </c>
      <c r="Q663" s="9">
        <v>19.053000000000001</v>
      </c>
      <c r="R663" s="9"/>
      <c r="S663" s="11"/>
    </row>
    <row r="664" spans="1:19" ht="15.75">
      <c r="A664" s="13">
        <v>61728</v>
      </c>
      <c r="B664" s="8">
        <f>19.8936 * CHOOSE(CONTROL!$C$15, $D$11, 100%, $F$11)</f>
        <v>19.893599999999999</v>
      </c>
      <c r="C664" s="8">
        <f>19.9044 * CHOOSE(CONTROL!$C$15, $D$11, 100%, $F$11)</f>
        <v>19.904399999999999</v>
      </c>
      <c r="D664" s="8">
        <f>19.8821 * CHOOSE( CONTROL!$C$15, $D$11, 100%, $F$11)</f>
        <v>19.882100000000001</v>
      </c>
      <c r="E664" s="12">
        <f>19.8891 * CHOOSE( CONTROL!$C$15, $D$11, 100%, $F$11)</f>
        <v>19.889099999999999</v>
      </c>
      <c r="F664" s="4">
        <f>20.5547 * CHOOSE(CONTROL!$C$15, $D$11, 100%, $F$11)</f>
        <v>20.5547</v>
      </c>
      <c r="G664" s="8">
        <f>19.4467 * CHOOSE( CONTROL!$C$15, $D$11, 100%, $F$11)</f>
        <v>19.4467</v>
      </c>
      <c r="H664" s="4">
        <f>20.3304 * CHOOSE(CONTROL!$C$15, $D$11, 100%, $F$11)</f>
        <v>20.330400000000001</v>
      </c>
      <c r="I664" s="8">
        <f>19.2589 * CHOOSE(CONTROL!$C$15, $D$11, 100%, $F$11)</f>
        <v>19.258900000000001</v>
      </c>
      <c r="J664" s="4">
        <f>19.0854 * CHOOSE(CONTROL!$C$15, $D$11, 100%, $F$11)</f>
        <v>19.0854</v>
      </c>
      <c r="K664" s="4"/>
      <c r="L664" s="9">
        <v>29.306000000000001</v>
      </c>
      <c r="M664" s="9">
        <v>12.063700000000001</v>
      </c>
      <c r="N664" s="9">
        <v>4.9444999999999997</v>
      </c>
      <c r="O664" s="9">
        <v>0.37409999999999999</v>
      </c>
      <c r="P664" s="9">
        <v>1.2927</v>
      </c>
      <c r="Q664" s="9">
        <v>19.688099999999999</v>
      </c>
      <c r="R664" s="9"/>
      <c r="S664" s="11"/>
    </row>
    <row r="665" spans="1:19" ht="15.75">
      <c r="A665" s="13">
        <v>61759</v>
      </c>
      <c r="B665" s="8">
        <f>20.48 * CHOOSE(CONTROL!$C$15, $D$11, 100%, $F$11)</f>
        <v>20.48</v>
      </c>
      <c r="C665" s="8">
        <f>20.4907 * CHOOSE(CONTROL!$C$15, $D$11, 100%, $F$11)</f>
        <v>20.4907</v>
      </c>
      <c r="D665" s="8">
        <f>20.4723 * CHOOSE( CONTROL!$C$15, $D$11, 100%, $F$11)</f>
        <v>20.472300000000001</v>
      </c>
      <c r="E665" s="12">
        <f>20.4779 * CHOOSE( CONTROL!$C$15, $D$11, 100%, $F$11)</f>
        <v>20.477900000000002</v>
      </c>
      <c r="F665" s="4">
        <f>21.1411 * CHOOSE(CONTROL!$C$15, $D$11, 100%, $F$11)</f>
        <v>21.141100000000002</v>
      </c>
      <c r="G665" s="8">
        <f>20.0156 * CHOOSE( CONTROL!$C$15, $D$11, 100%, $F$11)</f>
        <v>20.015599999999999</v>
      </c>
      <c r="H665" s="4">
        <f>20.9037 * CHOOSE(CONTROL!$C$15, $D$11, 100%, $F$11)</f>
        <v>20.903700000000001</v>
      </c>
      <c r="I665" s="8">
        <f>19.7775 * CHOOSE(CONTROL!$C$15, $D$11, 100%, $F$11)</f>
        <v>19.7775</v>
      </c>
      <c r="J665" s="4">
        <f>19.6483 * CHOOSE(CONTROL!$C$15, $D$11, 100%, $F$11)</f>
        <v>19.648299999999999</v>
      </c>
      <c r="K665" s="4"/>
      <c r="L665" s="9">
        <v>29.306000000000001</v>
      </c>
      <c r="M665" s="9">
        <v>12.063700000000001</v>
      </c>
      <c r="N665" s="9">
        <v>4.9444999999999997</v>
      </c>
      <c r="O665" s="9">
        <v>0.37409999999999999</v>
      </c>
      <c r="P665" s="9">
        <v>1.2927</v>
      </c>
      <c r="Q665" s="9">
        <v>19.688099999999999</v>
      </c>
      <c r="R665" s="9"/>
      <c r="S665" s="11"/>
    </row>
    <row r="666" spans="1:19" ht="15.75">
      <c r="A666" s="13">
        <v>61787</v>
      </c>
      <c r="B666" s="8">
        <f>19.1569 * CHOOSE(CONTROL!$C$15, $D$11, 100%, $F$11)</f>
        <v>19.1569</v>
      </c>
      <c r="C666" s="8">
        <f>19.1677 * CHOOSE(CONTROL!$C$15, $D$11, 100%, $F$11)</f>
        <v>19.1677</v>
      </c>
      <c r="D666" s="8">
        <f>19.1491 * CHOOSE( CONTROL!$C$15, $D$11, 100%, $F$11)</f>
        <v>19.149100000000001</v>
      </c>
      <c r="E666" s="12">
        <f>19.1548 * CHOOSE( CONTROL!$C$15, $D$11, 100%, $F$11)</f>
        <v>19.154800000000002</v>
      </c>
      <c r="F666" s="4">
        <f>19.818 * CHOOSE(CONTROL!$C$15, $D$11, 100%, $F$11)</f>
        <v>19.818000000000001</v>
      </c>
      <c r="G666" s="8">
        <f>18.7219 * CHOOSE( CONTROL!$C$15, $D$11, 100%, $F$11)</f>
        <v>18.721900000000002</v>
      </c>
      <c r="H666" s="4">
        <f>19.6102 * CHOOSE(CONTROL!$C$15, $D$11, 100%, $F$11)</f>
        <v>19.610199999999999</v>
      </c>
      <c r="I666" s="8">
        <f>18.5062 * CHOOSE(CONTROL!$C$15, $D$11, 100%, $F$11)</f>
        <v>18.5062</v>
      </c>
      <c r="J666" s="4">
        <f>18.3781 * CHOOSE(CONTROL!$C$15, $D$11, 100%, $F$11)</f>
        <v>18.3781</v>
      </c>
      <c r="K666" s="4"/>
      <c r="L666" s="9">
        <v>26.469899999999999</v>
      </c>
      <c r="M666" s="9">
        <v>10.8962</v>
      </c>
      <c r="N666" s="9">
        <v>4.4660000000000002</v>
      </c>
      <c r="O666" s="9">
        <v>0.33789999999999998</v>
      </c>
      <c r="P666" s="9">
        <v>1.1676</v>
      </c>
      <c r="Q666" s="9">
        <v>17.782800000000002</v>
      </c>
      <c r="R666" s="9"/>
      <c r="S666" s="11"/>
    </row>
    <row r="667" spans="1:19" ht="15.75">
      <c r="A667" s="13">
        <v>61818</v>
      </c>
      <c r="B667" s="8">
        <f>18.7495 * CHOOSE(CONTROL!$C$15, $D$11, 100%, $F$11)</f>
        <v>18.749500000000001</v>
      </c>
      <c r="C667" s="8">
        <f>18.7602 * CHOOSE(CONTROL!$C$15, $D$11, 100%, $F$11)</f>
        <v>18.760200000000001</v>
      </c>
      <c r="D667" s="8">
        <f>18.7412 * CHOOSE( CONTROL!$C$15, $D$11, 100%, $F$11)</f>
        <v>18.741199999999999</v>
      </c>
      <c r="E667" s="12">
        <f>18.747 * CHOOSE( CONTROL!$C$15, $D$11, 100%, $F$11)</f>
        <v>18.747</v>
      </c>
      <c r="F667" s="4">
        <f>19.4106 * CHOOSE(CONTROL!$C$15, $D$11, 100%, $F$11)</f>
        <v>19.410599999999999</v>
      </c>
      <c r="G667" s="8">
        <f>18.3232 * CHOOSE( CONTROL!$C$15, $D$11, 100%, $F$11)</f>
        <v>18.3232</v>
      </c>
      <c r="H667" s="4">
        <f>19.2118 * CHOOSE(CONTROL!$C$15, $D$11, 100%, $F$11)</f>
        <v>19.2118</v>
      </c>
      <c r="I667" s="8">
        <f>18.1132 * CHOOSE(CONTROL!$C$15, $D$11, 100%, $F$11)</f>
        <v>18.113199999999999</v>
      </c>
      <c r="J667" s="4">
        <f>17.9869 * CHOOSE(CONTROL!$C$15, $D$11, 100%, $F$11)</f>
        <v>17.986899999999999</v>
      </c>
      <c r="K667" s="4"/>
      <c r="L667" s="9">
        <v>29.306000000000001</v>
      </c>
      <c r="M667" s="9">
        <v>12.063700000000001</v>
      </c>
      <c r="N667" s="9">
        <v>4.9444999999999997</v>
      </c>
      <c r="O667" s="9">
        <v>0.37409999999999999</v>
      </c>
      <c r="P667" s="9">
        <v>1.2927</v>
      </c>
      <c r="Q667" s="9">
        <v>19.688099999999999</v>
      </c>
      <c r="R667" s="9"/>
      <c r="S667" s="11"/>
    </row>
    <row r="668" spans="1:19" ht="15.75">
      <c r="A668" s="13">
        <v>61848</v>
      </c>
      <c r="B668" s="8">
        <f>19.0341 * CHOOSE(CONTROL!$C$15, $D$11, 100%, $F$11)</f>
        <v>19.034099999999999</v>
      </c>
      <c r="C668" s="8">
        <f>19.0449 * CHOOSE(CONTROL!$C$15, $D$11, 100%, $F$11)</f>
        <v>19.044899999999998</v>
      </c>
      <c r="D668" s="8">
        <f>19.0797 * CHOOSE( CONTROL!$C$15, $D$11, 100%, $F$11)</f>
        <v>19.079699999999999</v>
      </c>
      <c r="E668" s="12">
        <f>19.067 * CHOOSE( CONTROL!$C$15, $D$11, 100%, $F$11)</f>
        <v>19.067</v>
      </c>
      <c r="F668" s="4">
        <f>19.763 * CHOOSE(CONTROL!$C$15, $D$11, 100%, $F$11)</f>
        <v>19.763000000000002</v>
      </c>
      <c r="G668" s="8">
        <f>18.6043 * CHOOSE( CONTROL!$C$15, $D$11, 100%, $F$11)</f>
        <v>18.604299999999999</v>
      </c>
      <c r="H668" s="4">
        <f>19.5564 * CHOOSE(CONTROL!$C$15, $D$11, 100%, $F$11)</f>
        <v>19.5564</v>
      </c>
      <c r="I668" s="8">
        <f>18.382 * CHOOSE(CONTROL!$C$15, $D$11, 100%, $F$11)</f>
        <v>18.382000000000001</v>
      </c>
      <c r="J668" s="4">
        <f>18.2603 * CHOOSE(CONTROL!$C$15, $D$11, 100%, $F$11)</f>
        <v>18.260300000000001</v>
      </c>
      <c r="K668" s="4"/>
      <c r="L668" s="9">
        <v>30.092199999999998</v>
      </c>
      <c r="M668" s="9">
        <v>11.6745</v>
      </c>
      <c r="N668" s="9">
        <v>4.7850000000000001</v>
      </c>
      <c r="O668" s="9">
        <v>0.36199999999999999</v>
      </c>
      <c r="P668" s="9">
        <v>1.1791</v>
      </c>
      <c r="Q668" s="9">
        <v>19.053000000000001</v>
      </c>
      <c r="R668" s="9"/>
      <c r="S668" s="11"/>
    </row>
    <row r="669" spans="1:19" ht="15.75">
      <c r="A669" s="13">
        <v>61879</v>
      </c>
      <c r="B669" s="8">
        <f>CHOOSE( CONTROL!$C$32, 19.5431, 19.5408) * CHOOSE(CONTROL!$C$15, $D$11, 100%, $F$11)</f>
        <v>19.543099999999999</v>
      </c>
      <c r="C669" s="8">
        <f>CHOOSE( CONTROL!$C$32, 19.5537, 19.5514) * CHOOSE(CONTROL!$C$15, $D$11, 100%, $F$11)</f>
        <v>19.553699999999999</v>
      </c>
      <c r="D669" s="8">
        <f>CHOOSE( CONTROL!$C$32, 19.5875, 19.5852) * CHOOSE( CONTROL!$C$15, $D$11, 100%, $F$11)</f>
        <v>19.587499999999999</v>
      </c>
      <c r="E669" s="12">
        <f>CHOOSE( CONTROL!$C$32, 19.5736, 19.5713) * CHOOSE( CONTROL!$C$15, $D$11, 100%, $F$11)</f>
        <v>19.573599999999999</v>
      </c>
      <c r="F669" s="4">
        <f>CHOOSE( CONTROL!$C$32, 20.2721, 20.2698) * CHOOSE(CONTROL!$C$15, $D$11, 100%, $F$11)</f>
        <v>20.272099999999998</v>
      </c>
      <c r="G669" s="8">
        <f>CHOOSE( CONTROL!$C$32, 19.1025, 19.1003) * CHOOSE( CONTROL!$C$15, $D$11, 100%, $F$11)</f>
        <v>19.102499999999999</v>
      </c>
      <c r="H669" s="4">
        <f>CHOOSE( CONTROL!$C$32, 20.0541, 20.0519) * CHOOSE(CONTROL!$C$15, $D$11, 100%, $F$11)</f>
        <v>20.054099999999998</v>
      </c>
      <c r="I669" s="8">
        <f>CHOOSE( CONTROL!$C$32, 18.8711, 18.8689) * CHOOSE(CONTROL!$C$15, $D$11, 100%, $F$11)</f>
        <v>18.871099999999998</v>
      </c>
      <c r="J669" s="4">
        <f>CHOOSE( CONTROL!$C$32, 18.749, 18.7468) * CHOOSE(CONTROL!$C$15, $D$11, 100%, $F$11)</f>
        <v>18.748999999999999</v>
      </c>
      <c r="K669" s="4"/>
      <c r="L669" s="9">
        <v>30.7165</v>
      </c>
      <c r="M669" s="9">
        <v>12.063700000000001</v>
      </c>
      <c r="N669" s="9">
        <v>4.9444999999999997</v>
      </c>
      <c r="O669" s="9">
        <v>0.37409999999999999</v>
      </c>
      <c r="P669" s="9">
        <v>1.2183999999999999</v>
      </c>
      <c r="Q669" s="9">
        <v>19.688099999999999</v>
      </c>
      <c r="R669" s="9"/>
      <c r="S669" s="11"/>
    </row>
    <row r="670" spans="1:19" ht="15.75">
      <c r="A670" s="13">
        <v>61909</v>
      </c>
      <c r="B670" s="8">
        <f>CHOOSE( CONTROL!$C$32, 19.2292, 19.2269) * CHOOSE(CONTROL!$C$15, $D$11, 100%, $F$11)</f>
        <v>19.229199999999999</v>
      </c>
      <c r="C670" s="8">
        <f>CHOOSE( CONTROL!$C$32, 19.2398, 19.2375) * CHOOSE(CONTROL!$C$15, $D$11, 100%, $F$11)</f>
        <v>19.239799999999999</v>
      </c>
      <c r="D670" s="8">
        <f>CHOOSE( CONTROL!$C$32, 19.2738, 19.2715) * CHOOSE( CONTROL!$C$15, $D$11, 100%, $F$11)</f>
        <v>19.273800000000001</v>
      </c>
      <c r="E670" s="12">
        <f>CHOOSE( CONTROL!$C$32, 19.2599, 19.2576) * CHOOSE( CONTROL!$C$15, $D$11, 100%, $F$11)</f>
        <v>19.259899999999998</v>
      </c>
      <c r="F670" s="4">
        <f>CHOOSE( CONTROL!$C$32, 19.9581, 19.9558) * CHOOSE(CONTROL!$C$15, $D$11, 100%, $F$11)</f>
        <v>19.958100000000002</v>
      </c>
      <c r="G670" s="8">
        <f>CHOOSE( CONTROL!$C$32, 18.7958, 18.7936) * CHOOSE( CONTROL!$C$15, $D$11, 100%, $F$11)</f>
        <v>18.7958</v>
      </c>
      <c r="H670" s="4">
        <f>CHOOSE( CONTROL!$C$32, 19.7472, 19.7449) * CHOOSE(CONTROL!$C$15, $D$11, 100%, $F$11)</f>
        <v>19.747199999999999</v>
      </c>
      <c r="I670" s="8">
        <f>CHOOSE( CONTROL!$C$32, 18.5703, 18.5681) * CHOOSE(CONTROL!$C$15, $D$11, 100%, $F$11)</f>
        <v>18.5703</v>
      </c>
      <c r="J670" s="4">
        <f>CHOOSE( CONTROL!$C$32, 18.4476, 18.4454) * CHOOSE(CONTROL!$C$15, $D$11, 100%, $F$11)</f>
        <v>18.447600000000001</v>
      </c>
      <c r="K670" s="4"/>
      <c r="L670" s="9">
        <v>29.7257</v>
      </c>
      <c r="M670" s="9">
        <v>11.6745</v>
      </c>
      <c r="N670" s="9">
        <v>4.7850000000000001</v>
      </c>
      <c r="O670" s="9">
        <v>0.36199999999999999</v>
      </c>
      <c r="P670" s="9">
        <v>1.1791</v>
      </c>
      <c r="Q670" s="9">
        <v>19.053000000000001</v>
      </c>
      <c r="R670" s="9"/>
      <c r="S670" s="11"/>
    </row>
    <row r="671" spans="1:19" ht="15.75">
      <c r="A671" s="13">
        <v>61940</v>
      </c>
      <c r="B671" s="8">
        <f>CHOOSE( CONTROL!$C$32, 20.0559, 20.0536) * CHOOSE(CONTROL!$C$15, $D$11, 100%, $F$11)</f>
        <v>20.055900000000001</v>
      </c>
      <c r="C671" s="8">
        <f>CHOOSE( CONTROL!$C$32, 20.0665, 20.0642) * CHOOSE(CONTROL!$C$15, $D$11, 100%, $F$11)</f>
        <v>20.066500000000001</v>
      </c>
      <c r="D671" s="8">
        <f>CHOOSE( CONTROL!$C$32, 20.1007, 20.0984) * CHOOSE( CONTROL!$C$15, $D$11, 100%, $F$11)</f>
        <v>20.1007</v>
      </c>
      <c r="E671" s="12">
        <f>CHOOSE( CONTROL!$C$32, 20.0867, 20.0844) * CHOOSE( CONTROL!$C$15, $D$11, 100%, $F$11)</f>
        <v>20.0867</v>
      </c>
      <c r="F671" s="4">
        <f>CHOOSE( CONTROL!$C$32, 20.7848, 20.7825) * CHOOSE(CONTROL!$C$15, $D$11, 100%, $F$11)</f>
        <v>20.784800000000001</v>
      </c>
      <c r="G671" s="8">
        <f>CHOOSE( CONTROL!$C$32, 19.6044, 19.6022) * CHOOSE( CONTROL!$C$15, $D$11, 100%, $F$11)</f>
        <v>19.604399999999998</v>
      </c>
      <c r="H671" s="4">
        <f>CHOOSE( CONTROL!$C$32, 20.5554, 20.5532) * CHOOSE(CONTROL!$C$15, $D$11, 100%, $F$11)</f>
        <v>20.555399999999999</v>
      </c>
      <c r="I671" s="8">
        <f>CHOOSE( CONTROL!$C$32, 19.3654, 19.3632) * CHOOSE(CONTROL!$C$15, $D$11, 100%, $F$11)</f>
        <v>19.365400000000001</v>
      </c>
      <c r="J671" s="4">
        <f>CHOOSE( CONTROL!$C$32, 19.2413, 19.2391) * CHOOSE(CONTROL!$C$15, $D$11, 100%, $F$11)</f>
        <v>19.241299999999999</v>
      </c>
      <c r="K671" s="4"/>
      <c r="L671" s="9">
        <v>30.7165</v>
      </c>
      <c r="M671" s="9">
        <v>12.063700000000001</v>
      </c>
      <c r="N671" s="9">
        <v>4.9444999999999997</v>
      </c>
      <c r="O671" s="9">
        <v>0.37409999999999999</v>
      </c>
      <c r="P671" s="9">
        <v>1.2183999999999999</v>
      </c>
      <c r="Q671" s="9">
        <v>19.688099999999999</v>
      </c>
      <c r="R671" s="9"/>
      <c r="S671" s="11"/>
    </row>
    <row r="672" spans="1:19" ht="15.75">
      <c r="A672" s="13">
        <v>61971</v>
      </c>
      <c r="B672" s="8">
        <f>CHOOSE( CONTROL!$C$32, 18.5091, 18.5068) * CHOOSE(CONTROL!$C$15, $D$11, 100%, $F$11)</f>
        <v>18.5091</v>
      </c>
      <c r="C672" s="8">
        <f>CHOOSE( CONTROL!$C$32, 18.5196, 18.5173) * CHOOSE(CONTROL!$C$15, $D$11, 100%, $F$11)</f>
        <v>18.519600000000001</v>
      </c>
      <c r="D672" s="8">
        <f>CHOOSE( CONTROL!$C$32, 18.5539, 18.5516) * CHOOSE( CONTROL!$C$15, $D$11, 100%, $F$11)</f>
        <v>18.553899999999999</v>
      </c>
      <c r="E672" s="12">
        <f>CHOOSE( CONTROL!$C$32, 18.5399, 18.5376) * CHOOSE( CONTROL!$C$15, $D$11, 100%, $F$11)</f>
        <v>18.539899999999999</v>
      </c>
      <c r="F672" s="4">
        <f>CHOOSE( CONTROL!$C$32, 19.238, 19.2357) * CHOOSE(CONTROL!$C$15, $D$11, 100%, $F$11)</f>
        <v>19.238</v>
      </c>
      <c r="G672" s="8">
        <f>CHOOSE( CONTROL!$C$32, 18.0922, 18.0899) * CHOOSE( CONTROL!$C$15, $D$11, 100%, $F$11)</f>
        <v>18.092199999999998</v>
      </c>
      <c r="H672" s="4">
        <f>CHOOSE( CONTROL!$C$32, 19.0431, 19.0409) * CHOOSE(CONTROL!$C$15, $D$11, 100%, $F$11)</f>
        <v>19.043099999999999</v>
      </c>
      <c r="I672" s="8">
        <f>CHOOSE( CONTROL!$C$32, 17.8798, 17.8776) * CHOOSE(CONTROL!$C$15, $D$11, 100%, $F$11)</f>
        <v>17.879799999999999</v>
      </c>
      <c r="J672" s="4">
        <f>CHOOSE( CONTROL!$C$32, 17.7562, 17.754) * CHOOSE(CONTROL!$C$15, $D$11, 100%, $F$11)</f>
        <v>17.7562</v>
      </c>
      <c r="K672" s="4"/>
      <c r="L672" s="9">
        <v>30.7165</v>
      </c>
      <c r="M672" s="9">
        <v>12.063700000000001</v>
      </c>
      <c r="N672" s="9">
        <v>4.9444999999999997</v>
      </c>
      <c r="O672" s="9">
        <v>0.37409999999999999</v>
      </c>
      <c r="P672" s="9">
        <v>1.2183999999999999</v>
      </c>
      <c r="Q672" s="9">
        <v>19.688099999999999</v>
      </c>
      <c r="R672" s="9"/>
      <c r="S672" s="11"/>
    </row>
    <row r="673" spans="1:19" ht="15.75">
      <c r="A673" s="13">
        <v>62001</v>
      </c>
      <c r="B673" s="8">
        <f>CHOOSE( CONTROL!$C$32, 18.1217, 18.1194) * CHOOSE(CONTROL!$C$15, $D$11, 100%, $F$11)</f>
        <v>18.121700000000001</v>
      </c>
      <c r="C673" s="8">
        <f>CHOOSE( CONTROL!$C$32, 18.1323, 18.13) * CHOOSE(CONTROL!$C$15, $D$11, 100%, $F$11)</f>
        <v>18.132300000000001</v>
      </c>
      <c r="D673" s="8">
        <f>CHOOSE( CONTROL!$C$32, 18.1665, 18.1642) * CHOOSE( CONTROL!$C$15, $D$11, 100%, $F$11)</f>
        <v>18.166499999999999</v>
      </c>
      <c r="E673" s="12">
        <f>CHOOSE( CONTROL!$C$32, 18.1525, 18.1502) * CHOOSE( CONTROL!$C$15, $D$11, 100%, $F$11)</f>
        <v>18.1525</v>
      </c>
      <c r="F673" s="4">
        <f>CHOOSE( CONTROL!$C$32, 18.8507, 18.8484) * CHOOSE(CONTROL!$C$15, $D$11, 100%, $F$11)</f>
        <v>18.8507</v>
      </c>
      <c r="G673" s="8">
        <f>CHOOSE( CONTROL!$C$32, 17.7134, 17.7112) * CHOOSE( CONTROL!$C$15, $D$11, 100%, $F$11)</f>
        <v>17.7134</v>
      </c>
      <c r="H673" s="4">
        <f>CHOOSE( CONTROL!$C$32, 18.6644, 18.6621) * CHOOSE(CONTROL!$C$15, $D$11, 100%, $F$11)</f>
        <v>18.664400000000001</v>
      </c>
      <c r="I673" s="8">
        <f>CHOOSE( CONTROL!$C$32, 17.5076, 17.5054) * CHOOSE(CONTROL!$C$15, $D$11, 100%, $F$11)</f>
        <v>17.5076</v>
      </c>
      <c r="J673" s="4">
        <f>CHOOSE( CONTROL!$C$32, 17.3843, 17.3821) * CHOOSE(CONTROL!$C$15, $D$11, 100%, $F$11)</f>
        <v>17.3843</v>
      </c>
      <c r="K673" s="4"/>
      <c r="L673" s="9">
        <v>29.7257</v>
      </c>
      <c r="M673" s="9">
        <v>11.6745</v>
      </c>
      <c r="N673" s="9">
        <v>4.7850000000000001</v>
      </c>
      <c r="O673" s="9">
        <v>0.36199999999999999</v>
      </c>
      <c r="P673" s="9">
        <v>1.1791</v>
      </c>
      <c r="Q673" s="9">
        <v>19.053000000000001</v>
      </c>
      <c r="R673" s="9"/>
      <c r="S673" s="11"/>
    </row>
    <row r="674" spans="1:19" ht="15.75">
      <c r="A674" s="13">
        <v>62032</v>
      </c>
      <c r="B674" s="8">
        <f>18.9238 * CHOOSE(CONTROL!$C$15, $D$11, 100%, $F$11)</f>
        <v>18.9238</v>
      </c>
      <c r="C674" s="8">
        <f>18.9345 * CHOOSE(CONTROL!$C$15, $D$11, 100%, $F$11)</f>
        <v>18.9345</v>
      </c>
      <c r="D674" s="8">
        <f>18.9699 * CHOOSE( CONTROL!$C$15, $D$11, 100%, $F$11)</f>
        <v>18.969899999999999</v>
      </c>
      <c r="E674" s="12">
        <f>18.9571 * CHOOSE( CONTROL!$C$15, $D$11, 100%, $F$11)</f>
        <v>18.957100000000001</v>
      </c>
      <c r="F674" s="4">
        <f>19.6526 * CHOOSE(CONTROL!$C$15, $D$11, 100%, $F$11)</f>
        <v>19.6526</v>
      </c>
      <c r="G674" s="8">
        <f>18.4973 * CHOOSE( CONTROL!$C$15, $D$11, 100%, $F$11)</f>
        <v>18.497299999999999</v>
      </c>
      <c r="H674" s="4">
        <f>19.4485 * CHOOSE(CONTROL!$C$15, $D$11, 100%, $F$11)</f>
        <v>19.448499999999999</v>
      </c>
      <c r="I674" s="8">
        <f>18.2788 * CHOOSE(CONTROL!$C$15, $D$11, 100%, $F$11)</f>
        <v>18.2788</v>
      </c>
      <c r="J674" s="4">
        <f>18.1543 * CHOOSE(CONTROL!$C$15, $D$11, 100%, $F$11)</f>
        <v>18.154299999999999</v>
      </c>
      <c r="K674" s="4"/>
      <c r="L674" s="9">
        <v>31.095300000000002</v>
      </c>
      <c r="M674" s="9">
        <v>12.063700000000001</v>
      </c>
      <c r="N674" s="9">
        <v>4.9444999999999997</v>
      </c>
      <c r="O674" s="9">
        <v>0.37409999999999999</v>
      </c>
      <c r="P674" s="9">
        <v>1.2183999999999999</v>
      </c>
      <c r="Q674" s="9">
        <v>19.688099999999999</v>
      </c>
      <c r="R674" s="9"/>
      <c r="S674" s="11"/>
    </row>
    <row r="675" spans="1:19" ht="15.75">
      <c r="A675" s="13">
        <v>62062</v>
      </c>
      <c r="B675" s="8">
        <f>20.4083 * CHOOSE(CONTROL!$C$15, $D$11, 100%, $F$11)</f>
        <v>20.408300000000001</v>
      </c>
      <c r="C675" s="8">
        <f>20.4191 * CHOOSE(CONTROL!$C$15, $D$11, 100%, $F$11)</f>
        <v>20.4191</v>
      </c>
      <c r="D675" s="8">
        <f>20.3951 * CHOOSE( CONTROL!$C$15, $D$11, 100%, $F$11)</f>
        <v>20.395099999999999</v>
      </c>
      <c r="E675" s="12">
        <f>20.4027 * CHOOSE( CONTROL!$C$15, $D$11, 100%, $F$11)</f>
        <v>20.402699999999999</v>
      </c>
      <c r="F675" s="4">
        <f>21.0694 * CHOOSE(CONTROL!$C$15, $D$11, 100%, $F$11)</f>
        <v>21.069400000000002</v>
      </c>
      <c r="G675" s="8">
        <f>19.9487 * CHOOSE( CONTROL!$C$15, $D$11, 100%, $F$11)</f>
        <v>19.948699999999999</v>
      </c>
      <c r="H675" s="4">
        <f>20.8337 * CHOOSE(CONTROL!$C$15, $D$11, 100%, $F$11)</f>
        <v>20.8337</v>
      </c>
      <c r="I675" s="8">
        <f>19.7482 * CHOOSE(CONTROL!$C$15, $D$11, 100%, $F$11)</f>
        <v>19.748200000000001</v>
      </c>
      <c r="J675" s="4">
        <f>19.5796 * CHOOSE(CONTROL!$C$15, $D$11, 100%, $F$11)</f>
        <v>19.579599999999999</v>
      </c>
      <c r="K675" s="4"/>
      <c r="L675" s="9">
        <v>28.360600000000002</v>
      </c>
      <c r="M675" s="9">
        <v>11.6745</v>
      </c>
      <c r="N675" s="9">
        <v>4.7850000000000001</v>
      </c>
      <c r="O675" s="9">
        <v>0.36199999999999999</v>
      </c>
      <c r="P675" s="9">
        <v>1.2509999999999999</v>
      </c>
      <c r="Q675" s="9">
        <v>19.053000000000001</v>
      </c>
      <c r="R675" s="9"/>
      <c r="S675" s="11"/>
    </row>
    <row r="676" spans="1:19" ht="15.75">
      <c r="A676" s="13">
        <v>62093</v>
      </c>
      <c r="B676" s="8">
        <f>20.3712 * CHOOSE(CONTROL!$C$15, $D$11, 100%, $F$11)</f>
        <v>20.371200000000002</v>
      </c>
      <c r="C676" s="8">
        <f>20.382 * CHOOSE(CONTROL!$C$15, $D$11, 100%, $F$11)</f>
        <v>20.382000000000001</v>
      </c>
      <c r="D676" s="8">
        <f>20.3597 * CHOOSE( CONTROL!$C$15, $D$11, 100%, $F$11)</f>
        <v>20.3597</v>
      </c>
      <c r="E676" s="12">
        <f>20.3667 * CHOOSE( CONTROL!$C$15, $D$11, 100%, $F$11)</f>
        <v>20.366700000000002</v>
      </c>
      <c r="F676" s="4">
        <f>21.0323 * CHOOSE(CONTROL!$C$15, $D$11, 100%, $F$11)</f>
        <v>21.032299999999999</v>
      </c>
      <c r="G676" s="8">
        <f>19.9137 * CHOOSE( CONTROL!$C$15, $D$11, 100%, $F$11)</f>
        <v>19.913699999999999</v>
      </c>
      <c r="H676" s="4">
        <f>20.7974 * CHOOSE(CONTROL!$C$15, $D$11, 100%, $F$11)</f>
        <v>20.7974</v>
      </c>
      <c r="I676" s="8">
        <f>19.7177 * CHOOSE(CONTROL!$C$15, $D$11, 100%, $F$11)</f>
        <v>19.717700000000001</v>
      </c>
      <c r="J676" s="4">
        <f>19.544 * CHOOSE(CONTROL!$C$15, $D$11, 100%, $F$11)</f>
        <v>19.544</v>
      </c>
      <c r="K676" s="4"/>
      <c r="L676" s="9">
        <v>29.306000000000001</v>
      </c>
      <c r="M676" s="9">
        <v>12.063700000000001</v>
      </c>
      <c r="N676" s="9">
        <v>4.9444999999999997</v>
      </c>
      <c r="O676" s="9">
        <v>0.37409999999999999</v>
      </c>
      <c r="P676" s="9">
        <v>1.2927</v>
      </c>
      <c r="Q676" s="9">
        <v>19.688099999999999</v>
      </c>
      <c r="R676" s="9"/>
      <c r="S676" s="11"/>
    </row>
    <row r="677" spans="1:19" ht="15.75">
      <c r="A677" s="13">
        <v>62124</v>
      </c>
      <c r="B677" s="8">
        <f>20.9717 * CHOOSE(CONTROL!$C$15, $D$11, 100%, $F$11)</f>
        <v>20.971699999999998</v>
      </c>
      <c r="C677" s="8">
        <f>20.9824 * CHOOSE(CONTROL!$C$15, $D$11, 100%, $F$11)</f>
        <v>20.982399999999998</v>
      </c>
      <c r="D677" s="8">
        <f>20.964 * CHOOSE( CONTROL!$C$15, $D$11, 100%, $F$11)</f>
        <v>20.963999999999999</v>
      </c>
      <c r="E677" s="12">
        <f>20.9696 * CHOOSE( CONTROL!$C$15, $D$11, 100%, $F$11)</f>
        <v>20.9696</v>
      </c>
      <c r="F677" s="4">
        <f>21.6328 * CHOOSE(CONTROL!$C$15, $D$11, 100%, $F$11)</f>
        <v>21.6328</v>
      </c>
      <c r="G677" s="8">
        <f>20.4963 * CHOOSE( CONTROL!$C$15, $D$11, 100%, $F$11)</f>
        <v>20.496300000000002</v>
      </c>
      <c r="H677" s="4">
        <f>21.3845 * CHOOSE(CONTROL!$C$15, $D$11, 100%, $F$11)</f>
        <v>21.384499999999999</v>
      </c>
      <c r="I677" s="8">
        <f>20.2499 * CHOOSE(CONTROL!$C$15, $D$11, 100%, $F$11)</f>
        <v>20.2499</v>
      </c>
      <c r="J677" s="4">
        <f>20.1204 * CHOOSE(CONTROL!$C$15, $D$11, 100%, $F$11)</f>
        <v>20.1204</v>
      </c>
      <c r="K677" s="4"/>
      <c r="L677" s="9">
        <v>29.306000000000001</v>
      </c>
      <c r="M677" s="9">
        <v>12.063700000000001</v>
      </c>
      <c r="N677" s="9">
        <v>4.9444999999999997</v>
      </c>
      <c r="O677" s="9">
        <v>0.37409999999999999</v>
      </c>
      <c r="P677" s="9">
        <v>1.2927</v>
      </c>
      <c r="Q677" s="9">
        <v>19.688099999999999</v>
      </c>
      <c r="R677" s="9"/>
      <c r="S677" s="11"/>
    </row>
    <row r="678" spans="1:19" ht="15.75">
      <c r="A678" s="13">
        <v>62152</v>
      </c>
      <c r="B678" s="8">
        <f>19.6169 * CHOOSE(CONTROL!$C$15, $D$11, 100%, $F$11)</f>
        <v>19.616900000000001</v>
      </c>
      <c r="C678" s="8">
        <f>19.6276 * CHOOSE(CONTROL!$C$15, $D$11, 100%, $F$11)</f>
        <v>19.627600000000001</v>
      </c>
      <c r="D678" s="8">
        <f>19.6091 * CHOOSE( CONTROL!$C$15, $D$11, 100%, $F$11)</f>
        <v>19.609100000000002</v>
      </c>
      <c r="E678" s="12">
        <f>19.6147 * CHOOSE( CONTROL!$C$15, $D$11, 100%, $F$11)</f>
        <v>19.614699999999999</v>
      </c>
      <c r="F678" s="4">
        <f>20.278 * CHOOSE(CONTROL!$C$15, $D$11, 100%, $F$11)</f>
        <v>20.277999999999999</v>
      </c>
      <c r="G678" s="8">
        <f>19.1716 * CHOOSE( CONTROL!$C$15, $D$11, 100%, $F$11)</f>
        <v>19.171600000000002</v>
      </c>
      <c r="H678" s="4">
        <f>20.0599 * CHOOSE(CONTROL!$C$15, $D$11, 100%, $F$11)</f>
        <v>20.059899999999999</v>
      </c>
      <c r="I678" s="8">
        <f>18.948 * CHOOSE(CONTROL!$C$15, $D$11, 100%, $F$11)</f>
        <v>18.948</v>
      </c>
      <c r="J678" s="4">
        <f>18.8197 * CHOOSE(CONTROL!$C$15, $D$11, 100%, $F$11)</f>
        <v>18.819700000000001</v>
      </c>
      <c r="K678" s="4"/>
      <c r="L678" s="9">
        <v>26.469899999999999</v>
      </c>
      <c r="M678" s="9">
        <v>10.8962</v>
      </c>
      <c r="N678" s="9">
        <v>4.4660000000000002</v>
      </c>
      <c r="O678" s="9">
        <v>0.33789999999999998</v>
      </c>
      <c r="P678" s="9">
        <v>1.1676</v>
      </c>
      <c r="Q678" s="9">
        <v>17.782800000000002</v>
      </c>
      <c r="R678" s="9"/>
      <c r="S678" s="11"/>
    </row>
    <row r="679" spans="1:19" ht="15.75">
      <c r="A679" s="13">
        <v>62183</v>
      </c>
      <c r="B679" s="8">
        <f>19.1996 * CHOOSE(CONTROL!$C$15, $D$11, 100%, $F$11)</f>
        <v>19.1996</v>
      </c>
      <c r="C679" s="8">
        <f>19.2104 * CHOOSE(CONTROL!$C$15, $D$11, 100%, $F$11)</f>
        <v>19.2104</v>
      </c>
      <c r="D679" s="8">
        <f>19.1913 * CHOOSE( CONTROL!$C$15, $D$11, 100%, $F$11)</f>
        <v>19.191299999999998</v>
      </c>
      <c r="E679" s="12">
        <f>19.1971 * CHOOSE( CONTROL!$C$15, $D$11, 100%, $F$11)</f>
        <v>19.197099999999999</v>
      </c>
      <c r="F679" s="4">
        <f>19.8607 * CHOOSE(CONTROL!$C$15, $D$11, 100%, $F$11)</f>
        <v>19.860700000000001</v>
      </c>
      <c r="G679" s="8">
        <f>18.7633 * CHOOSE( CONTROL!$C$15, $D$11, 100%, $F$11)</f>
        <v>18.763300000000001</v>
      </c>
      <c r="H679" s="4">
        <f>19.6519 * CHOOSE(CONTROL!$C$15, $D$11, 100%, $F$11)</f>
        <v>19.651900000000001</v>
      </c>
      <c r="I679" s="8">
        <f>18.5456 * CHOOSE(CONTROL!$C$15, $D$11, 100%, $F$11)</f>
        <v>18.5456</v>
      </c>
      <c r="J679" s="4">
        <f>18.4191 * CHOOSE(CONTROL!$C$15, $D$11, 100%, $F$11)</f>
        <v>18.4191</v>
      </c>
      <c r="K679" s="4"/>
      <c r="L679" s="9">
        <v>29.306000000000001</v>
      </c>
      <c r="M679" s="9">
        <v>12.063700000000001</v>
      </c>
      <c r="N679" s="9">
        <v>4.9444999999999997</v>
      </c>
      <c r="O679" s="9">
        <v>0.37409999999999999</v>
      </c>
      <c r="P679" s="9">
        <v>1.2927</v>
      </c>
      <c r="Q679" s="9">
        <v>19.688099999999999</v>
      </c>
      <c r="R679" s="9"/>
      <c r="S679" s="11"/>
    </row>
    <row r="680" spans="1:19" ht="15.75">
      <c r="A680" s="13">
        <v>62213</v>
      </c>
      <c r="B680" s="8">
        <f>19.4911 * CHOOSE(CONTROL!$C$15, $D$11, 100%, $F$11)</f>
        <v>19.491099999999999</v>
      </c>
      <c r="C680" s="8">
        <f>19.5019 * CHOOSE(CONTROL!$C$15, $D$11, 100%, $F$11)</f>
        <v>19.501899999999999</v>
      </c>
      <c r="D680" s="8">
        <f>19.5367 * CHOOSE( CONTROL!$C$15, $D$11, 100%, $F$11)</f>
        <v>19.5367</v>
      </c>
      <c r="E680" s="12">
        <f>19.524 * CHOOSE( CONTROL!$C$15, $D$11, 100%, $F$11)</f>
        <v>19.524000000000001</v>
      </c>
      <c r="F680" s="4">
        <f>20.22 * CHOOSE(CONTROL!$C$15, $D$11, 100%, $F$11)</f>
        <v>20.22</v>
      </c>
      <c r="G680" s="8">
        <f>19.0511 * CHOOSE( CONTROL!$C$15, $D$11, 100%, $F$11)</f>
        <v>19.051100000000002</v>
      </c>
      <c r="H680" s="4">
        <f>20.0032 * CHOOSE(CONTROL!$C$15, $D$11, 100%, $F$11)</f>
        <v>20.0032</v>
      </c>
      <c r="I680" s="8">
        <f>18.821 * CHOOSE(CONTROL!$C$15, $D$11, 100%, $F$11)</f>
        <v>18.821000000000002</v>
      </c>
      <c r="J680" s="4">
        <f>18.699 * CHOOSE(CONTROL!$C$15, $D$11, 100%, $F$11)</f>
        <v>18.699000000000002</v>
      </c>
      <c r="K680" s="4"/>
      <c r="L680" s="9">
        <v>30.092199999999998</v>
      </c>
      <c r="M680" s="9">
        <v>11.6745</v>
      </c>
      <c r="N680" s="9">
        <v>4.7850000000000001</v>
      </c>
      <c r="O680" s="9">
        <v>0.36199999999999999</v>
      </c>
      <c r="P680" s="9">
        <v>1.1791</v>
      </c>
      <c r="Q680" s="9">
        <v>19.053000000000001</v>
      </c>
      <c r="R680" s="9"/>
      <c r="S680" s="11"/>
    </row>
    <row r="681" spans="1:19" ht="15.75">
      <c r="A681" s="13">
        <v>62244</v>
      </c>
      <c r="B681" s="8">
        <f>CHOOSE( CONTROL!$C$32, 20.0123, 20.01) * CHOOSE(CONTROL!$C$15, $D$11, 100%, $F$11)</f>
        <v>20.0123</v>
      </c>
      <c r="C681" s="8">
        <f>CHOOSE( CONTROL!$C$32, 20.0229, 20.0206) * CHOOSE(CONTROL!$C$15, $D$11, 100%, $F$11)</f>
        <v>20.0229</v>
      </c>
      <c r="D681" s="8">
        <f>CHOOSE( CONTROL!$C$32, 20.0567, 20.0544) * CHOOSE( CONTROL!$C$15, $D$11, 100%, $F$11)</f>
        <v>20.056699999999999</v>
      </c>
      <c r="E681" s="12">
        <f>CHOOSE( CONTROL!$C$32, 20.0428, 20.0405) * CHOOSE( CONTROL!$C$15, $D$11, 100%, $F$11)</f>
        <v>20.0428</v>
      </c>
      <c r="F681" s="4">
        <f>CHOOSE( CONTROL!$C$32, 20.7412, 20.7389) * CHOOSE(CONTROL!$C$15, $D$11, 100%, $F$11)</f>
        <v>20.741199999999999</v>
      </c>
      <c r="G681" s="8">
        <f>CHOOSE( CONTROL!$C$32, 19.5612, 19.559) * CHOOSE( CONTROL!$C$15, $D$11, 100%, $F$11)</f>
        <v>19.561199999999999</v>
      </c>
      <c r="H681" s="4">
        <f>CHOOSE( CONTROL!$C$32, 20.5128, 20.5106) * CHOOSE(CONTROL!$C$15, $D$11, 100%, $F$11)</f>
        <v>20.512799999999999</v>
      </c>
      <c r="I681" s="8">
        <f>CHOOSE( CONTROL!$C$32, 19.3218, 19.3196) * CHOOSE(CONTROL!$C$15, $D$11, 100%, $F$11)</f>
        <v>19.3218</v>
      </c>
      <c r="J681" s="4">
        <f>CHOOSE( CONTROL!$C$32, 19.1995, 19.1973) * CHOOSE(CONTROL!$C$15, $D$11, 100%, $F$11)</f>
        <v>19.1995</v>
      </c>
      <c r="K681" s="4"/>
      <c r="L681" s="9">
        <v>30.7165</v>
      </c>
      <c r="M681" s="9">
        <v>12.063700000000001</v>
      </c>
      <c r="N681" s="9">
        <v>4.9444999999999997</v>
      </c>
      <c r="O681" s="9">
        <v>0.37409999999999999</v>
      </c>
      <c r="P681" s="9">
        <v>1.2183999999999999</v>
      </c>
      <c r="Q681" s="9">
        <v>19.688099999999999</v>
      </c>
      <c r="R681" s="9"/>
      <c r="S681" s="11"/>
    </row>
    <row r="682" spans="1:19" ht="15.75">
      <c r="A682" s="13">
        <v>62274</v>
      </c>
      <c r="B682" s="8">
        <f>CHOOSE( CONTROL!$C$32, 19.6908, 19.6885) * CHOOSE(CONTROL!$C$15, $D$11, 100%, $F$11)</f>
        <v>19.690799999999999</v>
      </c>
      <c r="C682" s="8">
        <f>CHOOSE( CONTROL!$C$32, 19.7014, 19.6991) * CHOOSE(CONTROL!$C$15, $D$11, 100%, $F$11)</f>
        <v>19.7014</v>
      </c>
      <c r="D682" s="8">
        <f>CHOOSE( CONTROL!$C$32, 19.7354, 19.7331) * CHOOSE( CONTROL!$C$15, $D$11, 100%, $F$11)</f>
        <v>19.735399999999998</v>
      </c>
      <c r="E682" s="12">
        <f>CHOOSE( CONTROL!$C$32, 19.7215, 19.7192) * CHOOSE( CONTROL!$C$15, $D$11, 100%, $F$11)</f>
        <v>19.721499999999999</v>
      </c>
      <c r="F682" s="4">
        <f>CHOOSE( CONTROL!$C$32, 20.4198, 20.4175) * CHOOSE(CONTROL!$C$15, $D$11, 100%, $F$11)</f>
        <v>20.419799999999999</v>
      </c>
      <c r="G682" s="8">
        <f>CHOOSE( CONTROL!$C$32, 19.2472, 19.2449) * CHOOSE( CONTROL!$C$15, $D$11, 100%, $F$11)</f>
        <v>19.247199999999999</v>
      </c>
      <c r="H682" s="4">
        <f>CHOOSE( CONTROL!$C$32, 20.1985, 20.1963) * CHOOSE(CONTROL!$C$15, $D$11, 100%, $F$11)</f>
        <v>20.198499999999999</v>
      </c>
      <c r="I682" s="8">
        <f>CHOOSE( CONTROL!$C$32, 19.0137, 19.0115) * CHOOSE(CONTROL!$C$15, $D$11, 100%, $F$11)</f>
        <v>19.0137</v>
      </c>
      <c r="J682" s="4">
        <f>CHOOSE( CONTROL!$C$32, 18.8908, 18.8886) * CHOOSE(CONTROL!$C$15, $D$11, 100%, $F$11)</f>
        <v>18.890799999999999</v>
      </c>
      <c r="K682" s="4"/>
      <c r="L682" s="9">
        <v>29.7257</v>
      </c>
      <c r="M682" s="9">
        <v>11.6745</v>
      </c>
      <c r="N682" s="9">
        <v>4.7850000000000001</v>
      </c>
      <c r="O682" s="9">
        <v>0.36199999999999999</v>
      </c>
      <c r="P682" s="9">
        <v>1.1791</v>
      </c>
      <c r="Q682" s="9">
        <v>19.053000000000001</v>
      </c>
      <c r="R682" s="9"/>
      <c r="S682" s="11"/>
    </row>
    <row r="683" spans="1:19" ht="15.75">
      <c r="A683" s="13">
        <v>62305</v>
      </c>
      <c r="B683" s="8">
        <f>CHOOSE( CONTROL!$C$32, 20.5374, 20.5351) * CHOOSE(CONTROL!$C$15, $D$11, 100%, $F$11)</f>
        <v>20.537400000000002</v>
      </c>
      <c r="C683" s="8">
        <f>CHOOSE( CONTROL!$C$32, 20.5479, 20.5456) * CHOOSE(CONTROL!$C$15, $D$11, 100%, $F$11)</f>
        <v>20.547899999999998</v>
      </c>
      <c r="D683" s="8">
        <f>CHOOSE( CONTROL!$C$32, 20.5821, 20.5798) * CHOOSE( CONTROL!$C$15, $D$11, 100%, $F$11)</f>
        <v>20.582100000000001</v>
      </c>
      <c r="E683" s="12">
        <f>CHOOSE( CONTROL!$C$32, 20.5681, 20.5658) * CHOOSE( CONTROL!$C$15, $D$11, 100%, $F$11)</f>
        <v>20.568100000000001</v>
      </c>
      <c r="F683" s="4">
        <f>CHOOSE( CONTROL!$C$32, 21.2663, 21.264) * CHOOSE(CONTROL!$C$15, $D$11, 100%, $F$11)</f>
        <v>21.266300000000001</v>
      </c>
      <c r="G683" s="8">
        <f>CHOOSE( CONTROL!$C$32, 20.0752, 20.0729) * CHOOSE( CONTROL!$C$15, $D$11, 100%, $F$11)</f>
        <v>20.075199999999999</v>
      </c>
      <c r="H683" s="4">
        <f>CHOOSE( CONTROL!$C$32, 21.0262, 21.0239) * CHOOSE(CONTROL!$C$15, $D$11, 100%, $F$11)</f>
        <v>21.026199999999999</v>
      </c>
      <c r="I683" s="8">
        <f>CHOOSE( CONTROL!$C$32, 19.8279, 19.8257) * CHOOSE(CONTROL!$C$15, $D$11, 100%, $F$11)</f>
        <v>19.8279</v>
      </c>
      <c r="J683" s="4">
        <f>CHOOSE( CONTROL!$C$32, 19.7036, 19.7014) * CHOOSE(CONTROL!$C$15, $D$11, 100%, $F$11)</f>
        <v>19.703600000000002</v>
      </c>
      <c r="K683" s="4"/>
      <c r="L683" s="9">
        <v>30.7165</v>
      </c>
      <c r="M683" s="9">
        <v>12.063700000000001</v>
      </c>
      <c r="N683" s="9">
        <v>4.9444999999999997</v>
      </c>
      <c r="O683" s="9">
        <v>0.37409999999999999</v>
      </c>
      <c r="P683" s="9">
        <v>1.2183999999999999</v>
      </c>
      <c r="Q683" s="9">
        <v>19.688099999999999</v>
      </c>
      <c r="R683" s="9"/>
      <c r="S683" s="11"/>
    </row>
    <row r="684" spans="1:19" ht="15.75">
      <c r="A684" s="13">
        <v>62336</v>
      </c>
      <c r="B684" s="8">
        <f>CHOOSE( CONTROL!$C$32, 18.9534, 18.9511) * CHOOSE(CONTROL!$C$15, $D$11, 100%, $F$11)</f>
        <v>18.953399999999998</v>
      </c>
      <c r="C684" s="8">
        <f>CHOOSE( CONTROL!$C$32, 18.9639, 18.9616) * CHOOSE(CONTROL!$C$15, $D$11, 100%, $F$11)</f>
        <v>18.963899999999999</v>
      </c>
      <c r="D684" s="8">
        <f>CHOOSE( CONTROL!$C$32, 18.9982, 18.9959) * CHOOSE( CONTROL!$C$15, $D$11, 100%, $F$11)</f>
        <v>18.998200000000001</v>
      </c>
      <c r="E684" s="12">
        <f>CHOOSE( CONTROL!$C$32, 18.9842, 18.9819) * CHOOSE( CONTROL!$C$15, $D$11, 100%, $F$11)</f>
        <v>18.984200000000001</v>
      </c>
      <c r="F684" s="4">
        <f>CHOOSE( CONTROL!$C$32, 19.6823, 19.68) * CHOOSE(CONTROL!$C$15, $D$11, 100%, $F$11)</f>
        <v>19.682300000000001</v>
      </c>
      <c r="G684" s="8">
        <f>CHOOSE( CONTROL!$C$32, 18.5266, 18.5243) * CHOOSE( CONTROL!$C$15, $D$11, 100%, $F$11)</f>
        <v>18.526599999999998</v>
      </c>
      <c r="H684" s="4">
        <f>CHOOSE( CONTROL!$C$32, 19.4775, 19.4753) * CHOOSE(CONTROL!$C$15, $D$11, 100%, $F$11)</f>
        <v>19.477499999999999</v>
      </c>
      <c r="I684" s="8">
        <f>CHOOSE( CONTROL!$C$32, 18.3066, 18.3044) * CHOOSE(CONTROL!$C$15, $D$11, 100%, $F$11)</f>
        <v>18.3066</v>
      </c>
      <c r="J684" s="4">
        <f>CHOOSE( CONTROL!$C$32, 18.1828, 18.1806) * CHOOSE(CONTROL!$C$15, $D$11, 100%, $F$11)</f>
        <v>18.1828</v>
      </c>
      <c r="K684" s="4"/>
      <c r="L684" s="9">
        <v>30.7165</v>
      </c>
      <c r="M684" s="9">
        <v>12.063700000000001</v>
      </c>
      <c r="N684" s="9">
        <v>4.9444999999999997</v>
      </c>
      <c r="O684" s="9">
        <v>0.37409999999999999</v>
      </c>
      <c r="P684" s="9">
        <v>1.2183999999999999</v>
      </c>
      <c r="Q684" s="9">
        <v>19.688099999999999</v>
      </c>
      <c r="R684" s="9"/>
      <c r="S684" s="11"/>
    </row>
    <row r="685" spans="1:19" ht="15.75">
      <c r="A685" s="13">
        <v>62366</v>
      </c>
      <c r="B685" s="8">
        <f>CHOOSE( CONTROL!$C$32, 18.5567, 18.5544) * CHOOSE(CONTROL!$C$15, $D$11, 100%, $F$11)</f>
        <v>18.556699999999999</v>
      </c>
      <c r="C685" s="8">
        <f>CHOOSE( CONTROL!$C$32, 18.5673, 18.565) * CHOOSE(CONTROL!$C$15, $D$11, 100%, $F$11)</f>
        <v>18.567299999999999</v>
      </c>
      <c r="D685" s="8">
        <f>CHOOSE( CONTROL!$C$32, 18.6015, 18.5992) * CHOOSE( CONTROL!$C$15, $D$11, 100%, $F$11)</f>
        <v>18.601500000000001</v>
      </c>
      <c r="E685" s="12">
        <f>CHOOSE( CONTROL!$C$32, 18.5875, 18.5852) * CHOOSE( CONTROL!$C$15, $D$11, 100%, $F$11)</f>
        <v>18.587499999999999</v>
      </c>
      <c r="F685" s="4">
        <f>CHOOSE( CONTROL!$C$32, 19.2857, 19.2834) * CHOOSE(CONTROL!$C$15, $D$11, 100%, $F$11)</f>
        <v>19.285699999999999</v>
      </c>
      <c r="G685" s="8">
        <f>CHOOSE( CONTROL!$C$32, 18.1387, 18.1365) * CHOOSE( CONTROL!$C$15, $D$11, 100%, $F$11)</f>
        <v>18.1387</v>
      </c>
      <c r="H685" s="4">
        <f>CHOOSE( CONTROL!$C$32, 19.0897, 19.0874) * CHOOSE(CONTROL!$C$15, $D$11, 100%, $F$11)</f>
        <v>19.089700000000001</v>
      </c>
      <c r="I685" s="8">
        <f>CHOOSE( CONTROL!$C$32, 17.9254, 17.9232) * CHOOSE(CONTROL!$C$15, $D$11, 100%, $F$11)</f>
        <v>17.9254</v>
      </c>
      <c r="J685" s="4">
        <f>CHOOSE( CONTROL!$C$32, 17.802, 17.7998) * CHOOSE(CONTROL!$C$15, $D$11, 100%, $F$11)</f>
        <v>17.802</v>
      </c>
      <c r="K685" s="4"/>
      <c r="L685" s="9">
        <v>29.7257</v>
      </c>
      <c r="M685" s="9">
        <v>11.6745</v>
      </c>
      <c r="N685" s="9">
        <v>4.7850000000000001</v>
      </c>
      <c r="O685" s="9">
        <v>0.36199999999999999</v>
      </c>
      <c r="P685" s="9">
        <v>1.1791</v>
      </c>
      <c r="Q685" s="9">
        <v>19.053000000000001</v>
      </c>
      <c r="R685" s="9"/>
      <c r="S685" s="11"/>
    </row>
    <row r="686" spans="1:19" ht="15.75">
      <c r="A686" s="13">
        <v>62397</v>
      </c>
      <c r="B686" s="8">
        <f>19.3781 * CHOOSE(CONTROL!$C$15, $D$11, 100%, $F$11)</f>
        <v>19.3781</v>
      </c>
      <c r="C686" s="8">
        <f>19.3889 * CHOOSE(CONTROL!$C$15, $D$11, 100%, $F$11)</f>
        <v>19.3889</v>
      </c>
      <c r="D686" s="8">
        <f>19.4243 * CHOOSE( CONTROL!$C$15, $D$11, 100%, $F$11)</f>
        <v>19.424299999999999</v>
      </c>
      <c r="E686" s="12">
        <f>19.4115 * CHOOSE( CONTROL!$C$15, $D$11, 100%, $F$11)</f>
        <v>19.4115</v>
      </c>
      <c r="F686" s="4">
        <f>20.1069 * CHOOSE(CONTROL!$C$15, $D$11, 100%, $F$11)</f>
        <v>20.1069</v>
      </c>
      <c r="G686" s="8">
        <f>18.9415 * CHOOSE( CONTROL!$C$15, $D$11, 100%, $F$11)</f>
        <v>18.941500000000001</v>
      </c>
      <c r="H686" s="4">
        <f>19.8927 * CHOOSE(CONTROL!$C$15, $D$11, 100%, $F$11)</f>
        <v>19.892700000000001</v>
      </c>
      <c r="I686" s="8">
        <f>18.7152 * CHOOSE(CONTROL!$C$15, $D$11, 100%, $F$11)</f>
        <v>18.715199999999999</v>
      </c>
      <c r="J686" s="4">
        <f>18.5905 * CHOOSE(CONTROL!$C$15, $D$11, 100%, $F$11)</f>
        <v>18.590499999999999</v>
      </c>
      <c r="K686" s="4"/>
      <c r="L686" s="9">
        <v>31.095300000000002</v>
      </c>
      <c r="M686" s="9">
        <v>12.063700000000001</v>
      </c>
      <c r="N686" s="9">
        <v>4.9444999999999997</v>
      </c>
      <c r="O686" s="9">
        <v>0.37409999999999999</v>
      </c>
      <c r="P686" s="9">
        <v>1.2183999999999999</v>
      </c>
      <c r="Q686" s="9">
        <v>19.688099999999999</v>
      </c>
      <c r="R686" s="9"/>
      <c r="S686" s="11"/>
    </row>
    <row r="687" spans="1:19" ht="15.75">
      <c r="A687" s="13">
        <v>62427</v>
      </c>
      <c r="B687" s="8">
        <f>20.8983 * CHOOSE(CONTROL!$C$15, $D$11, 100%, $F$11)</f>
        <v>20.898299999999999</v>
      </c>
      <c r="C687" s="8">
        <f>20.9091 * CHOOSE(CONTROL!$C$15, $D$11, 100%, $F$11)</f>
        <v>20.909099999999999</v>
      </c>
      <c r="D687" s="8">
        <f>20.8851 * CHOOSE( CONTROL!$C$15, $D$11, 100%, $F$11)</f>
        <v>20.885100000000001</v>
      </c>
      <c r="E687" s="12">
        <f>20.8927 * CHOOSE( CONTROL!$C$15, $D$11, 100%, $F$11)</f>
        <v>20.892700000000001</v>
      </c>
      <c r="F687" s="4">
        <f>21.5594 * CHOOSE(CONTROL!$C$15, $D$11, 100%, $F$11)</f>
        <v>21.5594</v>
      </c>
      <c r="G687" s="8">
        <f>20.4278 * CHOOSE( CONTROL!$C$15, $D$11, 100%, $F$11)</f>
        <v>20.427800000000001</v>
      </c>
      <c r="H687" s="4">
        <f>21.3128 * CHOOSE(CONTROL!$C$15, $D$11, 100%, $F$11)</f>
        <v>21.312799999999999</v>
      </c>
      <c r="I687" s="8">
        <f>20.2188 * CHOOSE(CONTROL!$C$15, $D$11, 100%, $F$11)</f>
        <v>20.218800000000002</v>
      </c>
      <c r="J687" s="4">
        <f>20.05 * CHOOSE(CONTROL!$C$15, $D$11, 100%, $F$11)</f>
        <v>20.05</v>
      </c>
      <c r="K687" s="4"/>
      <c r="L687" s="9">
        <v>28.360600000000002</v>
      </c>
      <c r="M687" s="9">
        <v>11.6745</v>
      </c>
      <c r="N687" s="9">
        <v>4.7850000000000001</v>
      </c>
      <c r="O687" s="9">
        <v>0.36199999999999999</v>
      </c>
      <c r="P687" s="9">
        <v>1.2509999999999999</v>
      </c>
      <c r="Q687" s="9">
        <v>19.053000000000001</v>
      </c>
      <c r="R687" s="9"/>
      <c r="S687" s="11"/>
    </row>
    <row r="688" spans="1:19" ht="15.75">
      <c r="A688" s="13">
        <v>62458</v>
      </c>
      <c r="B688" s="8">
        <f>20.8603 * CHOOSE(CONTROL!$C$15, $D$11, 100%, $F$11)</f>
        <v>20.860299999999999</v>
      </c>
      <c r="C688" s="8">
        <f>20.8711 * CHOOSE(CONTROL!$C$15, $D$11, 100%, $F$11)</f>
        <v>20.871099999999998</v>
      </c>
      <c r="D688" s="8">
        <f>20.8488 * CHOOSE( CONTROL!$C$15, $D$11, 100%, $F$11)</f>
        <v>20.848800000000001</v>
      </c>
      <c r="E688" s="12">
        <f>20.8558 * CHOOSE( CONTROL!$C$15, $D$11, 100%, $F$11)</f>
        <v>20.855799999999999</v>
      </c>
      <c r="F688" s="4">
        <f>21.5214 * CHOOSE(CONTROL!$C$15, $D$11, 100%, $F$11)</f>
        <v>21.5214</v>
      </c>
      <c r="G688" s="8">
        <f>20.3919 * CHOOSE( CONTROL!$C$15, $D$11, 100%, $F$11)</f>
        <v>20.3919</v>
      </c>
      <c r="H688" s="4">
        <f>21.2756 * CHOOSE(CONTROL!$C$15, $D$11, 100%, $F$11)</f>
        <v>21.275600000000001</v>
      </c>
      <c r="I688" s="8">
        <f>20.1875 * CHOOSE(CONTROL!$C$15, $D$11, 100%, $F$11)</f>
        <v>20.1875</v>
      </c>
      <c r="J688" s="4">
        <f>20.0135 * CHOOSE(CONTROL!$C$15, $D$11, 100%, $F$11)</f>
        <v>20.013500000000001</v>
      </c>
      <c r="K688" s="4"/>
      <c r="L688" s="9">
        <v>29.306000000000001</v>
      </c>
      <c r="M688" s="9">
        <v>12.063700000000001</v>
      </c>
      <c r="N688" s="9">
        <v>4.9444999999999997</v>
      </c>
      <c r="O688" s="9">
        <v>0.37409999999999999</v>
      </c>
      <c r="P688" s="9">
        <v>1.2927</v>
      </c>
      <c r="Q688" s="9">
        <v>19.688099999999999</v>
      </c>
      <c r="R688" s="9"/>
      <c r="S688" s="11"/>
    </row>
    <row r="689" spans="1:19" ht="15.75">
      <c r="A689" s="13">
        <v>62489</v>
      </c>
      <c r="B689" s="8">
        <f>21.4752 * CHOOSE(CONTROL!$C$15, $D$11, 100%, $F$11)</f>
        <v>21.475200000000001</v>
      </c>
      <c r="C689" s="8">
        <f>21.486 * CHOOSE(CONTROL!$C$15, $D$11, 100%, $F$11)</f>
        <v>21.486000000000001</v>
      </c>
      <c r="D689" s="8">
        <f>21.4676 * CHOOSE( CONTROL!$C$15, $D$11, 100%, $F$11)</f>
        <v>21.467600000000001</v>
      </c>
      <c r="E689" s="12">
        <f>21.4732 * CHOOSE( CONTROL!$C$15, $D$11, 100%, $F$11)</f>
        <v>21.473199999999999</v>
      </c>
      <c r="F689" s="4">
        <f>22.1363 * CHOOSE(CONTROL!$C$15, $D$11, 100%, $F$11)</f>
        <v>22.136299999999999</v>
      </c>
      <c r="G689" s="8">
        <f>20.9886 * CHOOSE( CONTROL!$C$15, $D$11, 100%, $F$11)</f>
        <v>20.988600000000002</v>
      </c>
      <c r="H689" s="4">
        <f>21.8768 * CHOOSE(CONTROL!$C$15, $D$11, 100%, $F$11)</f>
        <v>21.876799999999999</v>
      </c>
      <c r="I689" s="8">
        <f>20.7335 * CHOOSE(CONTROL!$C$15, $D$11, 100%, $F$11)</f>
        <v>20.733499999999999</v>
      </c>
      <c r="J689" s="4">
        <f>20.6039 * CHOOSE(CONTROL!$C$15, $D$11, 100%, $F$11)</f>
        <v>20.603899999999999</v>
      </c>
      <c r="K689" s="4"/>
      <c r="L689" s="9">
        <v>29.306000000000001</v>
      </c>
      <c r="M689" s="9">
        <v>12.063700000000001</v>
      </c>
      <c r="N689" s="9">
        <v>4.9444999999999997</v>
      </c>
      <c r="O689" s="9">
        <v>0.37409999999999999</v>
      </c>
      <c r="P689" s="9">
        <v>1.2927</v>
      </c>
      <c r="Q689" s="9">
        <v>19.688099999999999</v>
      </c>
      <c r="R689" s="9"/>
      <c r="S689" s="11"/>
    </row>
    <row r="690" spans="1:19" ht="15.75">
      <c r="A690" s="13">
        <v>62517</v>
      </c>
      <c r="B690" s="8">
        <f>20.0878 * CHOOSE(CONTROL!$C$15, $D$11, 100%, $F$11)</f>
        <v>20.087800000000001</v>
      </c>
      <c r="C690" s="8">
        <f>20.0986 * CHOOSE(CONTROL!$C$15, $D$11, 100%, $F$11)</f>
        <v>20.098600000000001</v>
      </c>
      <c r="D690" s="8">
        <f>20.0801 * CHOOSE( CONTROL!$C$15, $D$11, 100%, $F$11)</f>
        <v>20.080100000000002</v>
      </c>
      <c r="E690" s="12">
        <f>20.0857 * CHOOSE( CONTROL!$C$15, $D$11, 100%, $F$11)</f>
        <v>20.085699999999999</v>
      </c>
      <c r="F690" s="4">
        <f>20.749 * CHOOSE(CONTROL!$C$15, $D$11, 100%, $F$11)</f>
        <v>20.748999999999999</v>
      </c>
      <c r="G690" s="8">
        <f>19.6321 * CHOOSE( CONTROL!$C$15, $D$11, 100%, $F$11)</f>
        <v>19.632100000000001</v>
      </c>
      <c r="H690" s="4">
        <f>20.5204 * CHOOSE(CONTROL!$C$15, $D$11, 100%, $F$11)</f>
        <v>20.520399999999999</v>
      </c>
      <c r="I690" s="8">
        <f>19.4004 * CHOOSE(CONTROL!$C$15, $D$11, 100%, $F$11)</f>
        <v>19.400400000000001</v>
      </c>
      <c r="J690" s="4">
        <f>19.2719 * CHOOSE(CONTROL!$C$15, $D$11, 100%, $F$11)</f>
        <v>19.271899999999999</v>
      </c>
      <c r="K690" s="4"/>
      <c r="L690" s="9">
        <v>26.469899999999999</v>
      </c>
      <c r="M690" s="9">
        <v>10.8962</v>
      </c>
      <c r="N690" s="9">
        <v>4.4660000000000002</v>
      </c>
      <c r="O690" s="9">
        <v>0.33789999999999998</v>
      </c>
      <c r="P690" s="9">
        <v>1.1676</v>
      </c>
      <c r="Q690" s="9">
        <v>17.782800000000002</v>
      </c>
      <c r="R690" s="9"/>
      <c r="S690" s="11"/>
    </row>
    <row r="691" spans="1:19" ht="15.75">
      <c r="A691" s="13">
        <v>62548</v>
      </c>
      <c r="B691" s="8">
        <f>19.6605 * CHOOSE(CONTROL!$C$15, $D$11, 100%, $F$11)</f>
        <v>19.660499999999999</v>
      </c>
      <c r="C691" s="8">
        <f>19.6713 * CHOOSE(CONTROL!$C$15, $D$11, 100%, $F$11)</f>
        <v>19.671299999999999</v>
      </c>
      <c r="D691" s="8">
        <f>19.6523 * CHOOSE( CONTROL!$C$15, $D$11, 100%, $F$11)</f>
        <v>19.6523</v>
      </c>
      <c r="E691" s="12">
        <f>19.6581 * CHOOSE( CONTROL!$C$15, $D$11, 100%, $F$11)</f>
        <v>19.658100000000001</v>
      </c>
      <c r="F691" s="4">
        <f>20.3217 * CHOOSE(CONTROL!$C$15, $D$11, 100%, $F$11)</f>
        <v>20.3217</v>
      </c>
      <c r="G691" s="8">
        <f>19.2139 * CHOOSE( CONTROL!$C$15, $D$11, 100%, $F$11)</f>
        <v>19.213899999999999</v>
      </c>
      <c r="H691" s="4">
        <f>20.1026 * CHOOSE(CONTROL!$C$15, $D$11, 100%, $F$11)</f>
        <v>20.102599999999999</v>
      </c>
      <c r="I691" s="8">
        <f>18.9884 * CHOOSE(CONTROL!$C$15, $D$11, 100%, $F$11)</f>
        <v>18.988399999999999</v>
      </c>
      <c r="J691" s="4">
        <f>18.8616 * CHOOSE(CONTROL!$C$15, $D$11, 100%, $F$11)</f>
        <v>18.861599999999999</v>
      </c>
      <c r="K691" s="4"/>
      <c r="L691" s="9">
        <v>29.306000000000001</v>
      </c>
      <c r="M691" s="9">
        <v>12.063700000000001</v>
      </c>
      <c r="N691" s="9">
        <v>4.9444999999999997</v>
      </c>
      <c r="O691" s="9">
        <v>0.37409999999999999</v>
      </c>
      <c r="P691" s="9">
        <v>1.2927</v>
      </c>
      <c r="Q691" s="9">
        <v>19.688099999999999</v>
      </c>
      <c r="R691" s="9"/>
      <c r="S691" s="11"/>
    </row>
    <row r="692" spans="1:19" ht="15.75">
      <c r="A692" s="13">
        <v>62578</v>
      </c>
      <c r="B692" s="8">
        <f>19.9591 * CHOOSE(CONTROL!$C$15, $D$11, 100%, $F$11)</f>
        <v>19.959099999999999</v>
      </c>
      <c r="C692" s="8">
        <f>19.9699 * CHOOSE(CONTROL!$C$15, $D$11, 100%, $F$11)</f>
        <v>19.969899999999999</v>
      </c>
      <c r="D692" s="8">
        <f>20.0046 * CHOOSE( CONTROL!$C$15, $D$11, 100%, $F$11)</f>
        <v>20.0046</v>
      </c>
      <c r="E692" s="12">
        <f>19.9919 * CHOOSE( CONTROL!$C$15, $D$11, 100%, $F$11)</f>
        <v>19.991900000000001</v>
      </c>
      <c r="F692" s="4">
        <f>20.6879 * CHOOSE(CONTROL!$C$15, $D$11, 100%, $F$11)</f>
        <v>20.687899999999999</v>
      </c>
      <c r="G692" s="8">
        <f>19.5086 * CHOOSE( CONTROL!$C$15, $D$11, 100%, $F$11)</f>
        <v>19.508600000000001</v>
      </c>
      <c r="H692" s="4">
        <f>20.4607 * CHOOSE(CONTROL!$C$15, $D$11, 100%, $F$11)</f>
        <v>20.460699999999999</v>
      </c>
      <c r="I692" s="8">
        <f>19.2705 * CHOOSE(CONTROL!$C$15, $D$11, 100%, $F$11)</f>
        <v>19.270499999999998</v>
      </c>
      <c r="J692" s="4">
        <f>19.1483 * CHOOSE(CONTROL!$C$15, $D$11, 100%, $F$11)</f>
        <v>19.148299999999999</v>
      </c>
      <c r="K692" s="4"/>
      <c r="L692" s="9">
        <v>30.092199999999998</v>
      </c>
      <c r="M692" s="9">
        <v>11.6745</v>
      </c>
      <c r="N692" s="9">
        <v>4.7850000000000001</v>
      </c>
      <c r="O692" s="9">
        <v>0.36199999999999999</v>
      </c>
      <c r="P692" s="9">
        <v>1.1791</v>
      </c>
      <c r="Q692" s="9">
        <v>19.053000000000001</v>
      </c>
      <c r="R692" s="9"/>
      <c r="S692" s="11"/>
    </row>
    <row r="693" spans="1:19" ht="15.75">
      <c r="A693" s="13">
        <v>62609</v>
      </c>
      <c r="B693" s="8">
        <f>CHOOSE( CONTROL!$C$32, 20.4927, 20.4904) * CHOOSE(CONTROL!$C$15, $D$11, 100%, $F$11)</f>
        <v>20.492699999999999</v>
      </c>
      <c r="C693" s="8">
        <f>CHOOSE( CONTROL!$C$32, 20.5033, 20.501) * CHOOSE(CONTROL!$C$15, $D$11, 100%, $F$11)</f>
        <v>20.503299999999999</v>
      </c>
      <c r="D693" s="8">
        <f>CHOOSE( CONTROL!$C$32, 20.5371, 20.5348) * CHOOSE( CONTROL!$C$15, $D$11, 100%, $F$11)</f>
        <v>20.537099999999999</v>
      </c>
      <c r="E693" s="12">
        <f>CHOOSE( CONTROL!$C$32, 20.5232, 20.5209) * CHOOSE( CONTROL!$C$15, $D$11, 100%, $F$11)</f>
        <v>20.523199999999999</v>
      </c>
      <c r="F693" s="4">
        <f>CHOOSE( CONTROL!$C$32, 21.2217, 21.2194) * CHOOSE(CONTROL!$C$15, $D$11, 100%, $F$11)</f>
        <v>21.221699999999998</v>
      </c>
      <c r="G693" s="8">
        <f>CHOOSE( CONTROL!$C$32, 20.0309, 20.0287) * CHOOSE( CONTROL!$C$15, $D$11, 100%, $F$11)</f>
        <v>20.030899999999999</v>
      </c>
      <c r="H693" s="4">
        <f>CHOOSE( CONTROL!$C$32, 20.9825, 20.9803) * CHOOSE(CONTROL!$C$15, $D$11, 100%, $F$11)</f>
        <v>20.982500000000002</v>
      </c>
      <c r="I693" s="8">
        <f>CHOOSE( CONTROL!$C$32, 19.7833, 19.781) * CHOOSE(CONTROL!$C$15, $D$11, 100%, $F$11)</f>
        <v>19.783300000000001</v>
      </c>
      <c r="J693" s="4">
        <f>CHOOSE( CONTROL!$C$32, 19.6607, 19.6585) * CHOOSE(CONTROL!$C$15, $D$11, 100%, $F$11)</f>
        <v>19.660699999999999</v>
      </c>
      <c r="K693" s="4"/>
      <c r="L693" s="9">
        <v>30.7165</v>
      </c>
      <c r="M693" s="9">
        <v>12.063700000000001</v>
      </c>
      <c r="N693" s="9">
        <v>4.9444999999999997</v>
      </c>
      <c r="O693" s="9">
        <v>0.37409999999999999</v>
      </c>
      <c r="P693" s="9">
        <v>1.2183999999999999</v>
      </c>
      <c r="Q693" s="9">
        <v>19.688099999999999</v>
      </c>
      <c r="R693" s="9"/>
      <c r="S693" s="11"/>
    </row>
    <row r="694" spans="1:19" ht="15.75">
      <c r="A694" s="13">
        <v>62639</v>
      </c>
      <c r="B694" s="8">
        <f>CHOOSE( CONTROL!$C$32, 20.1635, 20.1612) * CHOOSE(CONTROL!$C$15, $D$11, 100%, $F$11)</f>
        <v>20.163499999999999</v>
      </c>
      <c r="C694" s="8">
        <f>CHOOSE( CONTROL!$C$32, 20.1741, 20.1718) * CHOOSE(CONTROL!$C$15, $D$11, 100%, $F$11)</f>
        <v>20.174099999999999</v>
      </c>
      <c r="D694" s="8">
        <f>CHOOSE( CONTROL!$C$32, 20.2081, 20.2058) * CHOOSE( CONTROL!$C$15, $D$11, 100%, $F$11)</f>
        <v>20.208100000000002</v>
      </c>
      <c r="E694" s="12">
        <f>CHOOSE( CONTROL!$C$32, 20.1942, 20.1919) * CHOOSE( CONTROL!$C$15, $D$11, 100%, $F$11)</f>
        <v>20.194199999999999</v>
      </c>
      <c r="F694" s="4">
        <f>CHOOSE( CONTROL!$C$32, 20.8925, 20.8902) * CHOOSE(CONTROL!$C$15, $D$11, 100%, $F$11)</f>
        <v>20.892499999999998</v>
      </c>
      <c r="G694" s="8">
        <f>CHOOSE( CONTROL!$C$32, 19.7093, 19.7071) * CHOOSE( CONTROL!$C$15, $D$11, 100%, $F$11)</f>
        <v>19.709299999999999</v>
      </c>
      <c r="H694" s="4">
        <f>CHOOSE( CONTROL!$C$32, 20.6607, 20.6584) * CHOOSE(CONTROL!$C$15, $D$11, 100%, $F$11)</f>
        <v>20.660699999999999</v>
      </c>
      <c r="I694" s="8">
        <f>CHOOSE( CONTROL!$C$32, 19.4678, 19.4656) * CHOOSE(CONTROL!$C$15, $D$11, 100%, $F$11)</f>
        <v>19.4678</v>
      </c>
      <c r="J694" s="4">
        <f>CHOOSE( CONTROL!$C$32, 19.3447, 19.3425) * CHOOSE(CONTROL!$C$15, $D$11, 100%, $F$11)</f>
        <v>19.3447</v>
      </c>
      <c r="K694" s="4"/>
      <c r="L694" s="9">
        <v>29.7257</v>
      </c>
      <c r="M694" s="9">
        <v>11.6745</v>
      </c>
      <c r="N694" s="9">
        <v>4.7850000000000001</v>
      </c>
      <c r="O694" s="9">
        <v>0.36199999999999999</v>
      </c>
      <c r="P694" s="9">
        <v>1.1791</v>
      </c>
      <c r="Q694" s="9">
        <v>19.053000000000001</v>
      </c>
      <c r="R694" s="9"/>
      <c r="S694" s="11"/>
    </row>
    <row r="695" spans="1:19" ht="15.75">
      <c r="A695" s="13">
        <v>62670</v>
      </c>
      <c r="B695" s="8">
        <f>CHOOSE( CONTROL!$C$32, 21.0304, 21.0281) * CHOOSE(CONTROL!$C$15, $D$11, 100%, $F$11)</f>
        <v>21.0304</v>
      </c>
      <c r="C695" s="8">
        <f>CHOOSE( CONTROL!$C$32, 21.041, 21.0387) * CHOOSE(CONTROL!$C$15, $D$11, 100%, $F$11)</f>
        <v>21.041</v>
      </c>
      <c r="D695" s="8">
        <f>CHOOSE( CONTROL!$C$32, 21.0752, 21.0729) * CHOOSE( CONTROL!$C$15, $D$11, 100%, $F$11)</f>
        <v>21.075199999999999</v>
      </c>
      <c r="E695" s="12">
        <f>CHOOSE( CONTROL!$C$32, 21.0612, 21.0589) * CHOOSE( CONTROL!$C$15, $D$11, 100%, $F$11)</f>
        <v>21.061199999999999</v>
      </c>
      <c r="F695" s="4">
        <f>CHOOSE( CONTROL!$C$32, 21.7594, 21.7571) * CHOOSE(CONTROL!$C$15, $D$11, 100%, $F$11)</f>
        <v>21.759399999999999</v>
      </c>
      <c r="G695" s="8">
        <f>CHOOSE( CONTROL!$C$32, 20.5572, 20.555) * CHOOSE( CONTROL!$C$15, $D$11, 100%, $F$11)</f>
        <v>20.557200000000002</v>
      </c>
      <c r="H695" s="4">
        <f>CHOOSE( CONTROL!$C$32, 21.5082, 21.506) * CHOOSE(CONTROL!$C$15, $D$11, 100%, $F$11)</f>
        <v>21.508199999999999</v>
      </c>
      <c r="I695" s="8">
        <f>CHOOSE( CONTROL!$C$32, 20.3015, 20.2993) * CHOOSE(CONTROL!$C$15, $D$11, 100%, $F$11)</f>
        <v>20.301500000000001</v>
      </c>
      <c r="J695" s="4">
        <f>CHOOSE( CONTROL!$C$32, 20.177, 20.1748) * CHOOSE(CONTROL!$C$15, $D$11, 100%, $F$11)</f>
        <v>20.177</v>
      </c>
      <c r="K695" s="4"/>
      <c r="L695" s="9">
        <v>30.7165</v>
      </c>
      <c r="M695" s="9">
        <v>12.063700000000001</v>
      </c>
      <c r="N695" s="9">
        <v>4.9444999999999997</v>
      </c>
      <c r="O695" s="9">
        <v>0.37409999999999999</v>
      </c>
      <c r="P695" s="9">
        <v>1.2183999999999999</v>
      </c>
      <c r="Q695" s="9">
        <v>19.688099999999999</v>
      </c>
      <c r="R695" s="9"/>
      <c r="S695" s="11"/>
    </row>
    <row r="696" spans="1:19" ht="15.75">
      <c r="A696" s="13">
        <v>62701</v>
      </c>
      <c r="B696" s="8">
        <f>CHOOSE( CONTROL!$C$32, 19.4084, 19.4061) * CHOOSE(CONTROL!$C$15, $D$11, 100%, $F$11)</f>
        <v>19.4084</v>
      </c>
      <c r="C696" s="8">
        <f>CHOOSE( CONTROL!$C$32, 19.4189, 19.4166) * CHOOSE(CONTROL!$C$15, $D$11, 100%, $F$11)</f>
        <v>19.418900000000001</v>
      </c>
      <c r="D696" s="8">
        <f>CHOOSE( CONTROL!$C$32, 19.4532, 19.4509) * CHOOSE( CONTROL!$C$15, $D$11, 100%, $F$11)</f>
        <v>19.453199999999999</v>
      </c>
      <c r="E696" s="12">
        <f>CHOOSE( CONTROL!$C$32, 19.4392, 19.4369) * CHOOSE( CONTROL!$C$15, $D$11, 100%, $F$11)</f>
        <v>19.4392</v>
      </c>
      <c r="F696" s="4">
        <f>CHOOSE( CONTROL!$C$32, 20.1373, 20.135) * CHOOSE(CONTROL!$C$15, $D$11, 100%, $F$11)</f>
        <v>20.1373</v>
      </c>
      <c r="G696" s="8">
        <f>CHOOSE( CONTROL!$C$32, 18.9714, 18.9692) * CHOOSE( CONTROL!$C$15, $D$11, 100%, $F$11)</f>
        <v>18.971399999999999</v>
      </c>
      <c r="H696" s="4">
        <f>CHOOSE( CONTROL!$C$32, 19.9223, 19.9201) * CHOOSE(CONTROL!$C$15, $D$11, 100%, $F$11)</f>
        <v>19.9223</v>
      </c>
      <c r="I696" s="8">
        <f>CHOOSE( CONTROL!$C$32, 18.7437, 18.7414) * CHOOSE(CONTROL!$C$15, $D$11, 100%, $F$11)</f>
        <v>18.7437</v>
      </c>
      <c r="J696" s="4">
        <f>CHOOSE( CONTROL!$C$32, 18.6196, 18.6174) * CHOOSE(CONTROL!$C$15, $D$11, 100%, $F$11)</f>
        <v>18.619599999999998</v>
      </c>
      <c r="K696" s="4"/>
      <c r="L696" s="9">
        <v>30.7165</v>
      </c>
      <c r="M696" s="9">
        <v>12.063700000000001</v>
      </c>
      <c r="N696" s="9">
        <v>4.9444999999999997</v>
      </c>
      <c r="O696" s="9">
        <v>0.37409999999999999</v>
      </c>
      <c r="P696" s="9">
        <v>1.2183999999999999</v>
      </c>
      <c r="Q696" s="9">
        <v>19.688099999999999</v>
      </c>
      <c r="R696" s="9"/>
      <c r="S696" s="11"/>
    </row>
    <row r="697" spans="1:19" ht="15.75">
      <c r="A697" s="13">
        <v>62731</v>
      </c>
      <c r="B697" s="8">
        <f>CHOOSE( CONTROL!$C$32, 19.0022, 18.9999) * CHOOSE(CONTROL!$C$15, $D$11, 100%, $F$11)</f>
        <v>19.002199999999998</v>
      </c>
      <c r="C697" s="8">
        <f>CHOOSE( CONTROL!$C$32, 19.0127, 19.0104) * CHOOSE(CONTROL!$C$15, $D$11, 100%, $F$11)</f>
        <v>19.012699999999999</v>
      </c>
      <c r="D697" s="8">
        <f>CHOOSE( CONTROL!$C$32, 19.047, 19.0447) * CHOOSE( CONTROL!$C$15, $D$11, 100%, $F$11)</f>
        <v>19.047000000000001</v>
      </c>
      <c r="E697" s="12">
        <f>CHOOSE( CONTROL!$C$32, 19.033, 19.0307) * CHOOSE( CONTROL!$C$15, $D$11, 100%, $F$11)</f>
        <v>19.033000000000001</v>
      </c>
      <c r="F697" s="4">
        <f>CHOOSE( CONTROL!$C$32, 19.7311, 19.7288) * CHOOSE(CONTROL!$C$15, $D$11, 100%, $F$11)</f>
        <v>19.731100000000001</v>
      </c>
      <c r="G697" s="8">
        <f>CHOOSE( CONTROL!$C$32, 18.5742, 18.572) * CHOOSE( CONTROL!$C$15, $D$11, 100%, $F$11)</f>
        <v>18.574200000000001</v>
      </c>
      <c r="H697" s="4">
        <f>CHOOSE( CONTROL!$C$32, 19.5252, 19.523) * CHOOSE(CONTROL!$C$15, $D$11, 100%, $F$11)</f>
        <v>19.525200000000002</v>
      </c>
      <c r="I697" s="8">
        <f>CHOOSE( CONTROL!$C$32, 18.3533, 18.3511) * CHOOSE(CONTROL!$C$15, $D$11, 100%, $F$11)</f>
        <v>18.353300000000001</v>
      </c>
      <c r="J697" s="4">
        <f>CHOOSE( CONTROL!$C$32, 18.2297, 18.2274) * CHOOSE(CONTROL!$C$15, $D$11, 100%, $F$11)</f>
        <v>18.229700000000001</v>
      </c>
      <c r="K697" s="4"/>
      <c r="L697" s="9">
        <v>29.7257</v>
      </c>
      <c r="M697" s="9">
        <v>11.6745</v>
      </c>
      <c r="N697" s="9">
        <v>4.7850000000000001</v>
      </c>
      <c r="O697" s="9">
        <v>0.36199999999999999</v>
      </c>
      <c r="P697" s="9">
        <v>1.1791</v>
      </c>
      <c r="Q697" s="9">
        <v>19.053000000000001</v>
      </c>
      <c r="R697" s="9"/>
      <c r="S697" s="11"/>
    </row>
    <row r="698" spans="1:19" ht="15.75">
      <c r="A698" s="13">
        <v>62762</v>
      </c>
      <c r="B698" s="8">
        <f>19.8434 * CHOOSE(CONTROL!$C$15, $D$11, 100%, $F$11)</f>
        <v>19.843399999999999</v>
      </c>
      <c r="C698" s="8">
        <f>19.8541 * CHOOSE(CONTROL!$C$15, $D$11, 100%, $F$11)</f>
        <v>19.854099999999999</v>
      </c>
      <c r="D698" s="8">
        <f>19.8895 * CHOOSE( CONTROL!$C$15, $D$11, 100%, $F$11)</f>
        <v>19.889500000000002</v>
      </c>
      <c r="E698" s="12">
        <f>19.8767 * CHOOSE( CONTROL!$C$15, $D$11, 100%, $F$11)</f>
        <v>19.8767</v>
      </c>
      <c r="F698" s="4">
        <f>20.5722 * CHOOSE(CONTROL!$C$15, $D$11, 100%, $F$11)</f>
        <v>20.572199999999999</v>
      </c>
      <c r="G698" s="8">
        <f>19.3964 * CHOOSE( CONTROL!$C$15, $D$11, 100%, $F$11)</f>
        <v>19.3964</v>
      </c>
      <c r="H698" s="4">
        <f>20.3475 * CHOOSE(CONTROL!$C$15, $D$11, 100%, $F$11)</f>
        <v>20.3475</v>
      </c>
      <c r="I698" s="8">
        <f>19.1622 * CHOOSE(CONTROL!$C$15, $D$11, 100%, $F$11)</f>
        <v>19.162199999999999</v>
      </c>
      <c r="J698" s="4">
        <f>19.0372 * CHOOSE(CONTROL!$C$15, $D$11, 100%, $F$11)</f>
        <v>19.037199999999999</v>
      </c>
      <c r="K698" s="4"/>
      <c r="L698" s="9">
        <v>31.095300000000002</v>
      </c>
      <c r="M698" s="9">
        <v>12.063700000000001</v>
      </c>
      <c r="N698" s="9">
        <v>4.9444999999999997</v>
      </c>
      <c r="O698" s="9">
        <v>0.37409999999999999</v>
      </c>
      <c r="P698" s="9">
        <v>1.2183999999999999</v>
      </c>
      <c r="Q698" s="9">
        <v>19.688099999999999</v>
      </c>
      <c r="R698" s="9"/>
      <c r="S698" s="11"/>
    </row>
    <row r="699" spans="1:19" ht="15.75">
      <c r="A699" s="13">
        <v>62792</v>
      </c>
      <c r="B699" s="8">
        <f>21.4001 * CHOOSE(CONTROL!$C$15, $D$11, 100%, $F$11)</f>
        <v>21.400099999999998</v>
      </c>
      <c r="C699" s="8">
        <f>21.4109 * CHOOSE(CONTROL!$C$15, $D$11, 100%, $F$11)</f>
        <v>21.410900000000002</v>
      </c>
      <c r="D699" s="8">
        <f>21.3869 * CHOOSE( CONTROL!$C$15, $D$11, 100%, $F$11)</f>
        <v>21.386900000000001</v>
      </c>
      <c r="E699" s="12">
        <f>21.3945 * CHOOSE( CONTROL!$C$15, $D$11, 100%, $F$11)</f>
        <v>21.394500000000001</v>
      </c>
      <c r="F699" s="4">
        <f>22.0612 * CHOOSE(CONTROL!$C$15, $D$11, 100%, $F$11)</f>
        <v>22.061199999999999</v>
      </c>
      <c r="G699" s="8">
        <f>20.9183 * CHOOSE( CONTROL!$C$15, $D$11, 100%, $F$11)</f>
        <v>20.918299999999999</v>
      </c>
      <c r="H699" s="4">
        <f>21.8033 * CHOOSE(CONTROL!$C$15, $D$11, 100%, $F$11)</f>
        <v>21.8033</v>
      </c>
      <c r="I699" s="8">
        <f>20.7008 * CHOOSE(CONTROL!$C$15, $D$11, 100%, $F$11)</f>
        <v>20.700800000000001</v>
      </c>
      <c r="J699" s="4">
        <f>20.5318 * CHOOSE(CONTROL!$C$15, $D$11, 100%, $F$11)</f>
        <v>20.5318</v>
      </c>
      <c r="K699" s="4"/>
      <c r="L699" s="9">
        <v>28.360600000000002</v>
      </c>
      <c r="M699" s="9">
        <v>11.6745</v>
      </c>
      <c r="N699" s="9">
        <v>4.7850000000000001</v>
      </c>
      <c r="O699" s="9">
        <v>0.36199999999999999</v>
      </c>
      <c r="P699" s="9">
        <v>1.2509999999999999</v>
      </c>
      <c r="Q699" s="9">
        <v>19.053000000000001</v>
      </c>
      <c r="R699" s="9"/>
      <c r="S699" s="11"/>
    </row>
    <row r="700" spans="1:19" ht="15.75">
      <c r="A700" s="13">
        <v>62823</v>
      </c>
      <c r="B700" s="8">
        <f>21.3612 * CHOOSE(CONTROL!$C$15, $D$11, 100%, $F$11)</f>
        <v>21.3612</v>
      </c>
      <c r="C700" s="8">
        <f>21.372 * CHOOSE(CONTROL!$C$15, $D$11, 100%, $F$11)</f>
        <v>21.372</v>
      </c>
      <c r="D700" s="8">
        <f>21.3497 * CHOOSE( CONTROL!$C$15, $D$11, 100%, $F$11)</f>
        <v>21.349699999999999</v>
      </c>
      <c r="E700" s="12">
        <f>21.3567 * CHOOSE( CONTROL!$C$15, $D$11, 100%, $F$11)</f>
        <v>21.3567</v>
      </c>
      <c r="F700" s="4">
        <f>22.0223 * CHOOSE(CONTROL!$C$15, $D$11, 100%, $F$11)</f>
        <v>22.022300000000001</v>
      </c>
      <c r="G700" s="8">
        <f>20.8815 * CHOOSE( CONTROL!$C$15, $D$11, 100%, $F$11)</f>
        <v>20.881499999999999</v>
      </c>
      <c r="H700" s="4">
        <f>21.7653 * CHOOSE(CONTROL!$C$15, $D$11, 100%, $F$11)</f>
        <v>21.7653</v>
      </c>
      <c r="I700" s="8">
        <f>20.6687 * CHOOSE(CONTROL!$C$15, $D$11, 100%, $F$11)</f>
        <v>20.668700000000001</v>
      </c>
      <c r="J700" s="4">
        <f>20.4944 * CHOOSE(CONTROL!$C$15, $D$11, 100%, $F$11)</f>
        <v>20.494399999999999</v>
      </c>
      <c r="K700" s="4"/>
      <c r="L700" s="9">
        <v>29.306000000000001</v>
      </c>
      <c r="M700" s="9">
        <v>12.063700000000001</v>
      </c>
      <c r="N700" s="9">
        <v>4.9444999999999997</v>
      </c>
      <c r="O700" s="9">
        <v>0.37409999999999999</v>
      </c>
      <c r="P700" s="9">
        <v>1.2927</v>
      </c>
      <c r="Q700" s="9">
        <v>19.688099999999999</v>
      </c>
      <c r="R700" s="9"/>
      <c r="S700" s="11"/>
    </row>
    <row r="701" spans="1:19" ht="15.75">
      <c r="A701" s="13">
        <v>62854</v>
      </c>
      <c r="B701" s="8">
        <f>21.9908 * CHOOSE(CONTROL!$C$15, $D$11, 100%, $F$11)</f>
        <v>21.9908</v>
      </c>
      <c r="C701" s="8">
        <f>22.0016 * CHOOSE(CONTROL!$C$15, $D$11, 100%, $F$11)</f>
        <v>22.0016</v>
      </c>
      <c r="D701" s="8">
        <f>21.9832 * CHOOSE( CONTROL!$C$15, $D$11, 100%, $F$11)</f>
        <v>21.9832</v>
      </c>
      <c r="E701" s="12">
        <f>21.9888 * CHOOSE( CONTROL!$C$15, $D$11, 100%, $F$11)</f>
        <v>21.988800000000001</v>
      </c>
      <c r="F701" s="4">
        <f>22.6519 * CHOOSE(CONTROL!$C$15, $D$11, 100%, $F$11)</f>
        <v>22.651900000000001</v>
      </c>
      <c r="G701" s="8">
        <f>21.4927 * CHOOSE( CONTROL!$C$15, $D$11, 100%, $F$11)</f>
        <v>21.492699999999999</v>
      </c>
      <c r="H701" s="4">
        <f>22.3809 * CHOOSE(CONTROL!$C$15, $D$11, 100%, $F$11)</f>
        <v>22.3809</v>
      </c>
      <c r="I701" s="8">
        <f>21.2288 * CHOOSE(CONTROL!$C$15, $D$11, 100%, $F$11)</f>
        <v>21.2288</v>
      </c>
      <c r="J701" s="4">
        <f>21.0989 * CHOOSE(CONTROL!$C$15, $D$11, 100%, $F$11)</f>
        <v>21.0989</v>
      </c>
      <c r="K701" s="4"/>
      <c r="L701" s="9">
        <v>29.306000000000001</v>
      </c>
      <c r="M701" s="9">
        <v>12.063700000000001</v>
      </c>
      <c r="N701" s="9">
        <v>4.9444999999999997</v>
      </c>
      <c r="O701" s="9">
        <v>0.37409999999999999</v>
      </c>
      <c r="P701" s="9">
        <v>1.2927</v>
      </c>
      <c r="Q701" s="9">
        <v>19.688099999999999</v>
      </c>
      <c r="R701" s="9"/>
      <c r="S701" s="11"/>
    </row>
    <row r="702" spans="1:19" ht="15.75">
      <c r="A702" s="13">
        <v>62883</v>
      </c>
      <c r="B702" s="8">
        <f>20.5701 * CHOOSE(CONTROL!$C$15, $D$11, 100%, $F$11)</f>
        <v>20.5701</v>
      </c>
      <c r="C702" s="8">
        <f>20.5809 * CHOOSE(CONTROL!$C$15, $D$11, 100%, $F$11)</f>
        <v>20.5809</v>
      </c>
      <c r="D702" s="8">
        <f>20.5623 * CHOOSE( CONTROL!$C$15, $D$11, 100%, $F$11)</f>
        <v>20.5623</v>
      </c>
      <c r="E702" s="12">
        <f>20.568 * CHOOSE( CONTROL!$C$15, $D$11, 100%, $F$11)</f>
        <v>20.568000000000001</v>
      </c>
      <c r="F702" s="4">
        <f>21.2313 * CHOOSE(CONTROL!$C$15, $D$11, 100%, $F$11)</f>
        <v>21.231300000000001</v>
      </c>
      <c r="G702" s="8">
        <f>20.1036 * CHOOSE( CONTROL!$C$15, $D$11, 100%, $F$11)</f>
        <v>20.1036</v>
      </c>
      <c r="H702" s="4">
        <f>20.9919 * CHOOSE(CONTROL!$C$15, $D$11, 100%, $F$11)</f>
        <v>20.991900000000001</v>
      </c>
      <c r="I702" s="8">
        <f>19.8637 * CHOOSE(CONTROL!$C$15, $D$11, 100%, $F$11)</f>
        <v>19.863700000000001</v>
      </c>
      <c r="J702" s="4">
        <f>19.7349 * CHOOSE(CONTROL!$C$15, $D$11, 100%, $F$11)</f>
        <v>19.7349</v>
      </c>
      <c r="K702" s="4"/>
      <c r="L702" s="9">
        <v>27.415299999999998</v>
      </c>
      <c r="M702" s="9">
        <v>11.285299999999999</v>
      </c>
      <c r="N702" s="9">
        <v>4.6254999999999997</v>
      </c>
      <c r="O702" s="9">
        <v>0.34989999999999999</v>
      </c>
      <c r="P702" s="9">
        <v>1.2093</v>
      </c>
      <c r="Q702" s="9">
        <v>18.417899999999999</v>
      </c>
      <c r="R702" s="9"/>
      <c r="S702" s="11"/>
    </row>
    <row r="703" spans="1:19" ht="15.75">
      <c r="A703" s="13">
        <v>62914</v>
      </c>
      <c r="B703" s="8">
        <f>20.1326 * CHOOSE(CONTROL!$C$15, $D$11, 100%, $F$11)</f>
        <v>20.1326</v>
      </c>
      <c r="C703" s="8">
        <f>20.1433 * CHOOSE(CONTROL!$C$15, $D$11, 100%, $F$11)</f>
        <v>20.1433</v>
      </c>
      <c r="D703" s="8">
        <f>20.1243 * CHOOSE( CONTROL!$C$15, $D$11, 100%, $F$11)</f>
        <v>20.124300000000002</v>
      </c>
      <c r="E703" s="12">
        <f>20.1301 * CHOOSE( CONTROL!$C$15, $D$11, 100%, $F$11)</f>
        <v>20.130099999999999</v>
      </c>
      <c r="F703" s="4">
        <f>20.7937 * CHOOSE(CONTROL!$C$15, $D$11, 100%, $F$11)</f>
        <v>20.793700000000001</v>
      </c>
      <c r="G703" s="8">
        <f>19.6754 * CHOOSE( CONTROL!$C$15, $D$11, 100%, $F$11)</f>
        <v>19.6754</v>
      </c>
      <c r="H703" s="4">
        <f>20.5641 * CHOOSE(CONTROL!$C$15, $D$11, 100%, $F$11)</f>
        <v>20.5641</v>
      </c>
      <c r="I703" s="8">
        <f>19.4418 * CHOOSE(CONTROL!$C$15, $D$11, 100%, $F$11)</f>
        <v>19.441800000000001</v>
      </c>
      <c r="J703" s="4">
        <f>19.3148 * CHOOSE(CONTROL!$C$15, $D$11, 100%, $F$11)</f>
        <v>19.314800000000002</v>
      </c>
      <c r="K703" s="4"/>
      <c r="L703" s="9">
        <v>29.306000000000001</v>
      </c>
      <c r="M703" s="9">
        <v>12.063700000000001</v>
      </c>
      <c r="N703" s="9">
        <v>4.9444999999999997</v>
      </c>
      <c r="O703" s="9">
        <v>0.37409999999999999</v>
      </c>
      <c r="P703" s="9">
        <v>1.2927</v>
      </c>
      <c r="Q703" s="9">
        <v>19.688099999999999</v>
      </c>
      <c r="R703" s="9"/>
      <c r="S703" s="11"/>
    </row>
    <row r="704" spans="1:19" ht="15.75">
      <c r="A704" s="13">
        <v>62944</v>
      </c>
      <c r="B704" s="8">
        <f>20.4383 * CHOOSE(CONTROL!$C$15, $D$11, 100%, $F$11)</f>
        <v>20.438300000000002</v>
      </c>
      <c r="C704" s="8">
        <f>20.4491 * CHOOSE(CONTROL!$C$15, $D$11, 100%, $F$11)</f>
        <v>20.449100000000001</v>
      </c>
      <c r="D704" s="8">
        <f>20.4838 * CHOOSE( CONTROL!$C$15, $D$11, 100%, $F$11)</f>
        <v>20.483799999999999</v>
      </c>
      <c r="E704" s="12">
        <f>20.4711 * CHOOSE( CONTROL!$C$15, $D$11, 100%, $F$11)</f>
        <v>20.4711</v>
      </c>
      <c r="F704" s="4">
        <f>21.1671 * CHOOSE(CONTROL!$C$15, $D$11, 100%, $F$11)</f>
        <v>21.167100000000001</v>
      </c>
      <c r="G704" s="8">
        <f>19.9771 * CHOOSE( CONTROL!$C$15, $D$11, 100%, $F$11)</f>
        <v>19.9771</v>
      </c>
      <c r="H704" s="4">
        <f>20.9292 * CHOOSE(CONTROL!$C$15, $D$11, 100%, $F$11)</f>
        <v>20.929200000000002</v>
      </c>
      <c r="I704" s="8">
        <f>19.7308 * CHOOSE(CONTROL!$C$15, $D$11, 100%, $F$11)</f>
        <v>19.730799999999999</v>
      </c>
      <c r="J704" s="4">
        <f>19.6084 * CHOOSE(CONTROL!$C$15, $D$11, 100%, $F$11)</f>
        <v>19.6084</v>
      </c>
      <c r="K704" s="4"/>
      <c r="L704" s="9">
        <v>30.092199999999998</v>
      </c>
      <c r="M704" s="9">
        <v>11.6745</v>
      </c>
      <c r="N704" s="9">
        <v>4.7850000000000001</v>
      </c>
      <c r="O704" s="9">
        <v>0.36199999999999999</v>
      </c>
      <c r="P704" s="9">
        <v>1.1791</v>
      </c>
      <c r="Q704" s="9">
        <v>19.053000000000001</v>
      </c>
      <c r="R704" s="9"/>
      <c r="S704" s="11"/>
    </row>
    <row r="705" spans="1:19" ht="15.75">
      <c r="A705" s="13">
        <v>62975</v>
      </c>
      <c r="B705" s="8">
        <f>CHOOSE( CONTROL!$C$32, 20.9847, 20.9824) * CHOOSE(CONTROL!$C$15, $D$11, 100%, $F$11)</f>
        <v>20.9847</v>
      </c>
      <c r="C705" s="8">
        <f>CHOOSE( CONTROL!$C$32, 20.9953, 20.993) * CHOOSE(CONTROL!$C$15, $D$11, 100%, $F$11)</f>
        <v>20.9953</v>
      </c>
      <c r="D705" s="8">
        <f>CHOOSE( CONTROL!$C$32, 21.0291, 21.0268) * CHOOSE( CONTROL!$C$15, $D$11, 100%, $F$11)</f>
        <v>21.0291</v>
      </c>
      <c r="E705" s="12">
        <f>CHOOSE( CONTROL!$C$32, 21.0152, 21.0129) * CHOOSE( CONTROL!$C$15, $D$11, 100%, $F$11)</f>
        <v>21.0152</v>
      </c>
      <c r="F705" s="4">
        <f>CHOOSE( CONTROL!$C$32, 21.7136, 21.7113) * CHOOSE(CONTROL!$C$15, $D$11, 100%, $F$11)</f>
        <v>21.7136</v>
      </c>
      <c r="G705" s="8">
        <f>CHOOSE( CONTROL!$C$32, 20.5119, 20.5097) * CHOOSE( CONTROL!$C$15, $D$11, 100%, $F$11)</f>
        <v>20.511900000000001</v>
      </c>
      <c r="H705" s="4">
        <f>CHOOSE( CONTROL!$C$32, 21.4635, 21.4613) * CHOOSE(CONTROL!$C$15, $D$11, 100%, $F$11)</f>
        <v>21.4635</v>
      </c>
      <c r="I705" s="8">
        <f>CHOOSE( CONTROL!$C$32, 20.2558, 20.2536) * CHOOSE(CONTROL!$C$15, $D$11, 100%, $F$11)</f>
        <v>20.255800000000001</v>
      </c>
      <c r="J705" s="4">
        <f>CHOOSE( CONTROL!$C$32, 20.1331, 20.1309) * CHOOSE(CONTROL!$C$15, $D$11, 100%, $F$11)</f>
        <v>20.133099999999999</v>
      </c>
      <c r="K705" s="4"/>
      <c r="L705" s="9">
        <v>30.7165</v>
      </c>
      <c r="M705" s="9">
        <v>12.063700000000001</v>
      </c>
      <c r="N705" s="9">
        <v>4.9444999999999997</v>
      </c>
      <c r="O705" s="9">
        <v>0.37409999999999999</v>
      </c>
      <c r="P705" s="9">
        <v>1.2183999999999999</v>
      </c>
      <c r="Q705" s="9">
        <v>19.688099999999999</v>
      </c>
      <c r="R705" s="9"/>
      <c r="S705" s="11"/>
    </row>
    <row r="706" spans="1:19" ht="15.75">
      <c r="A706" s="13">
        <v>63005</v>
      </c>
      <c r="B706" s="8">
        <f>CHOOSE( CONTROL!$C$32, 20.6476, 20.6453) * CHOOSE(CONTROL!$C$15, $D$11, 100%, $F$11)</f>
        <v>20.647600000000001</v>
      </c>
      <c r="C706" s="8">
        <f>CHOOSE( CONTROL!$C$32, 20.6582, 20.6559) * CHOOSE(CONTROL!$C$15, $D$11, 100%, $F$11)</f>
        <v>20.658200000000001</v>
      </c>
      <c r="D706" s="8">
        <f>CHOOSE( CONTROL!$C$32, 20.6921, 20.6898) * CHOOSE( CONTROL!$C$15, $D$11, 100%, $F$11)</f>
        <v>20.6921</v>
      </c>
      <c r="E706" s="12">
        <f>CHOOSE( CONTROL!$C$32, 20.6782, 20.6759) * CHOOSE( CONTROL!$C$15, $D$11, 100%, $F$11)</f>
        <v>20.6782</v>
      </c>
      <c r="F706" s="4">
        <f>CHOOSE( CONTROL!$C$32, 21.3765, 21.3742) * CHOOSE(CONTROL!$C$15, $D$11, 100%, $F$11)</f>
        <v>21.3765</v>
      </c>
      <c r="G706" s="8">
        <f>CHOOSE( CONTROL!$C$32, 20.1826, 20.1803) * CHOOSE( CONTROL!$C$15, $D$11, 100%, $F$11)</f>
        <v>20.182600000000001</v>
      </c>
      <c r="H706" s="4">
        <f>CHOOSE( CONTROL!$C$32, 21.1339, 21.1317) * CHOOSE(CONTROL!$C$15, $D$11, 100%, $F$11)</f>
        <v>21.133900000000001</v>
      </c>
      <c r="I706" s="8">
        <f>CHOOSE( CONTROL!$C$32, 19.9328, 19.9306) * CHOOSE(CONTROL!$C$15, $D$11, 100%, $F$11)</f>
        <v>19.9328</v>
      </c>
      <c r="J706" s="4">
        <f>CHOOSE( CONTROL!$C$32, 19.8094, 19.8072) * CHOOSE(CONTROL!$C$15, $D$11, 100%, $F$11)</f>
        <v>19.8094</v>
      </c>
      <c r="K706" s="4"/>
      <c r="L706" s="9">
        <v>29.7257</v>
      </c>
      <c r="M706" s="9">
        <v>11.6745</v>
      </c>
      <c r="N706" s="9">
        <v>4.7850000000000001</v>
      </c>
      <c r="O706" s="9">
        <v>0.36199999999999999</v>
      </c>
      <c r="P706" s="9">
        <v>1.1791</v>
      </c>
      <c r="Q706" s="9">
        <v>19.053000000000001</v>
      </c>
      <c r="R706" s="9"/>
      <c r="S706" s="11"/>
    </row>
    <row r="707" spans="1:19" ht="15.75">
      <c r="A707" s="13">
        <v>63036</v>
      </c>
      <c r="B707" s="8">
        <f>CHOOSE( CONTROL!$C$32, 21.5353, 21.533) * CHOOSE(CONTROL!$C$15, $D$11, 100%, $F$11)</f>
        <v>21.535299999999999</v>
      </c>
      <c r="C707" s="8">
        <f>CHOOSE( CONTROL!$C$32, 21.5459, 21.5436) * CHOOSE(CONTROL!$C$15, $D$11, 100%, $F$11)</f>
        <v>21.5459</v>
      </c>
      <c r="D707" s="8">
        <f>CHOOSE( CONTROL!$C$32, 21.5801, 21.5778) * CHOOSE( CONTROL!$C$15, $D$11, 100%, $F$11)</f>
        <v>21.580100000000002</v>
      </c>
      <c r="E707" s="12">
        <f>CHOOSE( CONTROL!$C$32, 21.5661, 21.5638) * CHOOSE( CONTROL!$C$15, $D$11, 100%, $F$11)</f>
        <v>21.566099999999999</v>
      </c>
      <c r="F707" s="4">
        <f>CHOOSE( CONTROL!$C$32, 22.2643, 22.262) * CHOOSE(CONTROL!$C$15, $D$11, 100%, $F$11)</f>
        <v>22.264299999999999</v>
      </c>
      <c r="G707" s="8">
        <f>CHOOSE( CONTROL!$C$32, 21.0508, 21.0486) * CHOOSE( CONTROL!$C$15, $D$11, 100%, $F$11)</f>
        <v>21.050799999999999</v>
      </c>
      <c r="H707" s="4">
        <f>CHOOSE( CONTROL!$C$32, 22.0019, 21.9996) * CHOOSE(CONTROL!$C$15, $D$11, 100%, $F$11)</f>
        <v>22.001899999999999</v>
      </c>
      <c r="I707" s="8">
        <f>CHOOSE( CONTROL!$C$32, 20.7865, 20.7843) * CHOOSE(CONTROL!$C$15, $D$11, 100%, $F$11)</f>
        <v>20.7865</v>
      </c>
      <c r="J707" s="4">
        <f>CHOOSE( CONTROL!$C$32, 20.6617, 20.6595) * CHOOSE(CONTROL!$C$15, $D$11, 100%, $F$11)</f>
        <v>20.6617</v>
      </c>
      <c r="K707" s="4"/>
      <c r="L707" s="9">
        <v>30.7165</v>
      </c>
      <c r="M707" s="9">
        <v>12.063700000000001</v>
      </c>
      <c r="N707" s="9">
        <v>4.9444999999999997</v>
      </c>
      <c r="O707" s="9">
        <v>0.37409999999999999</v>
      </c>
      <c r="P707" s="9">
        <v>1.2183999999999999</v>
      </c>
      <c r="Q707" s="9">
        <v>19.688099999999999</v>
      </c>
      <c r="R707" s="9"/>
      <c r="S707" s="11"/>
    </row>
    <row r="708" spans="1:19" ht="15.75">
      <c r="A708" s="13">
        <v>63067</v>
      </c>
      <c r="B708" s="8">
        <f>CHOOSE( CONTROL!$C$32, 19.8743, 19.872) * CHOOSE(CONTROL!$C$15, $D$11, 100%, $F$11)</f>
        <v>19.874300000000002</v>
      </c>
      <c r="C708" s="8">
        <f>CHOOSE( CONTROL!$C$32, 19.8848, 19.8825) * CHOOSE(CONTROL!$C$15, $D$11, 100%, $F$11)</f>
        <v>19.884799999999998</v>
      </c>
      <c r="D708" s="8">
        <f>CHOOSE( CONTROL!$C$32, 19.9191, 19.9168) * CHOOSE( CONTROL!$C$15, $D$11, 100%, $F$11)</f>
        <v>19.9191</v>
      </c>
      <c r="E708" s="12">
        <f>CHOOSE( CONTROL!$C$32, 19.9051, 19.9028) * CHOOSE( CONTROL!$C$15, $D$11, 100%, $F$11)</f>
        <v>19.905100000000001</v>
      </c>
      <c r="F708" s="4">
        <f>CHOOSE( CONTROL!$C$32, 20.6032, 20.6009) * CHOOSE(CONTROL!$C$15, $D$11, 100%, $F$11)</f>
        <v>20.603200000000001</v>
      </c>
      <c r="G708" s="8">
        <f>CHOOSE( CONTROL!$C$32, 19.4269, 19.4247) * CHOOSE( CONTROL!$C$15, $D$11, 100%, $F$11)</f>
        <v>19.4269</v>
      </c>
      <c r="H708" s="4">
        <f>CHOOSE( CONTROL!$C$32, 20.3779, 20.3756) * CHOOSE(CONTROL!$C$15, $D$11, 100%, $F$11)</f>
        <v>20.3779</v>
      </c>
      <c r="I708" s="8">
        <f>CHOOSE( CONTROL!$C$32, 19.1912, 19.189) * CHOOSE(CONTROL!$C$15, $D$11, 100%, $F$11)</f>
        <v>19.191199999999998</v>
      </c>
      <c r="J708" s="4">
        <f>CHOOSE( CONTROL!$C$32, 19.067, 19.0648) * CHOOSE(CONTROL!$C$15, $D$11, 100%, $F$11)</f>
        <v>19.067</v>
      </c>
      <c r="K708" s="4"/>
      <c r="L708" s="9">
        <v>30.7165</v>
      </c>
      <c r="M708" s="9">
        <v>12.063700000000001</v>
      </c>
      <c r="N708" s="9">
        <v>4.9444999999999997</v>
      </c>
      <c r="O708" s="9">
        <v>0.37409999999999999</v>
      </c>
      <c r="P708" s="9">
        <v>1.2183999999999999</v>
      </c>
      <c r="Q708" s="9">
        <v>19.688099999999999</v>
      </c>
      <c r="R708" s="9"/>
      <c r="S708" s="11"/>
    </row>
    <row r="709" spans="1:19" ht="15.75">
      <c r="A709" s="13">
        <v>63097</v>
      </c>
      <c r="B709" s="8">
        <f>CHOOSE( CONTROL!$C$32, 19.4583, 19.456) * CHOOSE(CONTROL!$C$15, $D$11, 100%, $F$11)</f>
        <v>19.458300000000001</v>
      </c>
      <c r="C709" s="8">
        <f>CHOOSE( CONTROL!$C$32, 19.4689, 19.4666) * CHOOSE(CONTROL!$C$15, $D$11, 100%, $F$11)</f>
        <v>19.468900000000001</v>
      </c>
      <c r="D709" s="8">
        <f>CHOOSE( CONTROL!$C$32, 19.5031, 19.5008) * CHOOSE( CONTROL!$C$15, $D$11, 100%, $F$11)</f>
        <v>19.5031</v>
      </c>
      <c r="E709" s="12">
        <f>CHOOSE( CONTROL!$C$32, 19.4891, 19.4868) * CHOOSE( CONTROL!$C$15, $D$11, 100%, $F$11)</f>
        <v>19.489100000000001</v>
      </c>
      <c r="F709" s="4">
        <f>CHOOSE( CONTROL!$C$32, 20.1873, 20.185) * CHOOSE(CONTROL!$C$15, $D$11, 100%, $F$11)</f>
        <v>20.1873</v>
      </c>
      <c r="G709" s="8">
        <f>CHOOSE( CONTROL!$C$32, 19.0202, 19.018) * CHOOSE( CONTROL!$C$15, $D$11, 100%, $F$11)</f>
        <v>19.020199999999999</v>
      </c>
      <c r="H709" s="4">
        <f>CHOOSE( CONTROL!$C$32, 19.9712, 19.969) * CHOOSE(CONTROL!$C$15, $D$11, 100%, $F$11)</f>
        <v>19.9712</v>
      </c>
      <c r="I709" s="8">
        <f>CHOOSE( CONTROL!$C$32, 18.7915, 18.7893) * CHOOSE(CONTROL!$C$15, $D$11, 100%, $F$11)</f>
        <v>18.791499999999999</v>
      </c>
      <c r="J709" s="4">
        <f>CHOOSE( CONTROL!$C$32, 18.6676, 18.6654) * CHOOSE(CONTROL!$C$15, $D$11, 100%, $F$11)</f>
        <v>18.6676</v>
      </c>
      <c r="K709" s="4"/>
      <c r="L709" s="9">
        <v>29.7257</v>
      </c>
      <c r="M709" s="9">
        <v>11.6745</v>
      </c>
      <c r="N709" s="9">
        <v>4.7850000000000001</v>
      </c>
      <c r="O709" s="9">
        <v>0.36199999999999999</v>
      </c>
      <c r="P709" s="9">
        <v>1.1791</v>
      </c>
      <c r="Q709" s="9">
        <v>19.053000000000001</v>
      </c>
      <c r="R709" s="9"/>
      <c r="S709" s="11"/>
    </row>
    <row r="710" spans="1:19" ht="15.75">
      <c r="A710" s="13">
        <v>63128</v>
      </c>
      <c r="B710" s="8">
        <f>20.3198 * CHOOSE(CONTROL!$C$15, $D$11, 100%, $F$11)</f>
        <v>20.319800000000001</v>
      </c>
      <c r="C710" s="8">
        <f>20.3305 * CHOOSE(CONTROL!$C$15, $D$11, 100%, $F$11)</f>
        <v>20.330500000000001</v>
      </c>
      <c r="D710" s="8">
        <f>20.3659 * CHOOSE( CONTROL!$C$15, $D$11, 100%, $F$11)</f>
        <v>20.3659</v>
      </c>
      <c r="E710" s="12">
        <f>20.3531 * CHOOSE( CONTROL!$C$15, $D$11, 100%, $F$11)</f>
        <v>20.353100000000001</v>
      </c>
      <c r="F710" s="4">
        <f>21.0486 * CHOOSE(CONTROL!$C$15, $D$11, 100%, $F$11)</f>
        <v>21.0486</v>
      </c>
      <c r="G710" s="8">
        <f>19.8622 * CHOOSE( CONTROL!$C$15, $D$11, 100%, $F$11)</f>
        <v>19.862200000000001</v>
      </c>
      <c r="H710" s="4">
        <f>20.8133 * CHOOSE(CONTROL!$C$15, $D$11, 100%, $F$11)</f>
        <v>20.813300000000002</v>
      </c>
      <c r="I710" s="8">
        <f>19.6198 * CHOOSE(CONTROL!$C$15, $D$11, 100%, $F$11)</f>
        <v>19.619800000000001</v>
      </c>
      <c r="J710" s="4">
        <f>19.4946 * CHOOSE(CONTROL!$C$15, $D$11, 100%, $F$11)</f>
        <v>19.494599999999998</v>
      </c>
      <c r="K710" s="4"/>
      <c r="L710" s="9">
        <v>31.095300000000002</v>
      </c>
      <c r="M710" s="9">
        <v>12.063700000000001</v>
      </c>
      <c r="N710" s="9">
        <v>4.9444999999999997</v>
      </c>
      <c r="O710" s="9">
        <v>0.37409999999999999</v>
      </c>
      <c r="P710" s="9">
        <v>1.2183999999999999</v>
      </c>
      <c r="Q710" s="9">
        <v>19.688099999999999</v>
      </c>
      <c r="R710" s="9"/>
      <c r="S710" s="11"/>
    </row>
    <row r="711" spans="1:19" ht="15.75">
      <c r="A711" s="13">
        <v>63158</v>
      </c>
      <c r="B711" s="8">
        <f>21.9139 * CHOOSE(CONTROL!$C$15, $D$11, 100%, $F$11)</f>
        <v>21.913900000000002</v>
      </c>
      <c r="C711" s="8">
        <f>21.9247 * CHOOSE(CONTROL!$C$15, $D$11, 100%, $F$11)</f>
        <v>21.924700000000001</v>
      </c>
      <c r="D711" s="8">
        <f>21.9007 * CHOOSE( CONTROL!$C$15, $D$11, 100%, $F$11)</f>
        <v>21.900700000000001</v>
      </c>
      <c r="E711" s="12">
        <f>21.9083 * CHOOSE( CONTROL!$C$15, $D$11, 100%, $F$11)</f>
        <v>21.908300000000001</v>
      </c>
      <c r="F711" s="4">
        <f>22.575 * CHOOSE(CONTROL!$C$15, $D$11, 100%, $F$11)</f>
        <v>22.574999999999999</v>
      </c>
      <c r="G711" s="8">
        <f>21.4207 * CHOOSE( CONTROL!$C$15, $D$11, 100%, $F$11)</f>
        <v>21.4207</v>
      </c>
      <c r="H711" s="4">
        <f>22.3057 * CHOOSE(CONTROL!$C$15, $D$11, 100%, $F$11)</f>
        <v>22.305700000000002</v>
      </c>
      <c r="I711" s="8">
        <f>21.1944 * CHOOSE(CONTROL!$C$15, $D$11, 100%, $F$11)</f>
        <v>21.194400000000002</v>
      </c>
      <c r="J711" s="4">
        <f>21.0251 * CHOOSE(CONTROL!$C$15, $D$11, 100%, $F$11)</f>
        <v>21.025099999999998</v>
      </c>
      <c r="K711" s="4"/>
      <c r="L711" s="9">
        <v>28.360600000000002</v>
      </c>
      <c r="M711" s="9">
        <v>11.6745</v>
      </c>
      <c r="N711" s="9">
        <v>4.7850000000000001</v>
      </c>
      <c r="O711" s="9">
        <v>0.36199999999999999</v>
      </c>
      <c r="P711" s="9">
        <v>1.2509999999999999</v>
      </c>
      <c r="Q711" s="9">
        <v>19.053000000000001</v>
      </c>
      <c r="R711" s="9"/>
      <c r="S711" s="11"/>
    </row>
    <row r="712" spans="1:19" ht="15.75">
      <c r="A712" s="13">
        <v>63189</v>
      </c>
      <c r="B712" s="8">
        <f>21.8741 * CHOOSE(CONTROL!$C$15, $D$11, 100%, $F$11)</f>
        <v>21.874099999999999</v>
      </c>
      <c r="C712" s="8">
        <f>21.8849 * CHOOSE(CONTROL!$C$15, $D$11, 100%, $F$11)</f>
        <v>21.884899999999998</v>
      </c>
      <c r="D712" s="8">
        <f>21.8626 * CHOOSE( CONTROL!$C$15, $D$11, 100%, $F$11)</f>
        <v>21.8626</v>
      </c>
      <c r="E712" s="12">
        <f>21.8696 * CHOOSE( CONTROL!$C$15, $D$11, 100%, $F$11)</f>
        <v>21.869599999999998</v>
      </c>
      <c r="F712" s="4">
        <f>22.5352 * CHOOSE(CONTROL!$C$15, $D$11, 100%, $F$11)</f>
        <v>22.5352</v>
      </c>
      <c r="G712" s="8">
        <f>21.383 * CHOOSE( CONTROL!$C$15, $D$11, 100%, $F$11)</f>
        <v>21.382999999999999</v>
      </c>
      <c r="H712" s="4">
        <f>22.2668 * CHOOSE(CONTROL!$C$15, $D$11, 100%, $F$11)</f>
        <v>22.2668</v>
      </c>
      <c r="I712" s="8">
        <f>21.1613 * CHOOSE(CONTROL!$C$15, $D$11, 100%, $F$11)</f>
        <v>21.161300000000001</v>
      </c>
      <c r="J712" s="4">
        <f>20.9869 * CHOOSE(CONTROL!$C$15, $D$11, 100%, $F$11)</f>
        <v>20.986899999999999</v>
      </c>
      <c r="K712" s="4"/>
      <c r="L712" s="9">
        <v>29.306000000000001</v>
      </c>
      <c r="M712" s="9">
        <v>12.063700000000001</v>
      </c>
      <c r="N712" s="9">
        <v>4.9444999999999997</v>
      </c>
      <c r="O712" s="9">
        <v>0.37409999999999999</v>
      </c>
      <c r="P712" s="9">
        <v>1.2927</v>
      </c>
      <c r="Q712" s="9">
        <v>19.688099999999999</v>
      </c>
      <c r="R712" s="9"/>
      <c r="S712" s="11"/>
    </row>
    <row r="713" spans="1:19" ht="15.75">
      <c r="A713" s="13">
        <v>63220</v>
      </c>
      <c r="B713" s="8">
        <f>22.5189 * CHOOSE(CONTROL!$C$15, $D$11, 100%, $F$11)</f>
        <v>22.518899999999999</v>
      </c>
      <c r="C713" s="8">
        <f>22.5296 * CHOOSE(CONTROL!$C$15, $D$11, 100%, $F$11)</f>
        <v>22.529599999999999</v>
      </c>
      <c r="D713" s="8">
        <f>22.5112 * CHOOSE( CONTROL!$C$15, $D$11, 100%, $F$11)</f>
        <v>22.511199999999999</v>
      </c>
      <c r="E713" s="12">
        <f>22.5168 * CHOOSE( CONTROL!$C$15, $D$11, 100%, $F$11)</f>
        <v>22.5168</v>
      </c>
      <c r="F713" s="4">
        <f>23.18 * CHOOSE(CONTROL!$C$15, $D$11, 100%, $F$11)</f>
        <v>23.18</v>
      </c>
      <c r="G713" s="8">
        <f>22.009 * CHOOSE( CONTROL!$C$15, $D$11, 100%, $F$11)</f>
        <v>22.009</v>
      </c>
      <c r="H713" s="4">
        <f>22.8972 * CHOOSE(CONTROL!$C$15, $D$11, 100%, $F$11)</f>
        <v>22.897200000000002</v>
      </c>
      <c r="I713" s="8">
        <f>21.7361 * CHOOSE(CONTROL!$C$15, $D$11, 100%, $F$11)</f>
        <v>21.7361</v>
      </c>
      <c r="J713" s="4">
        <f>21.6059 * CHOOSE(CONTROL!$C$15, $D$11, 100%, $F$11)</f>
        <v>21.605899999999998</v>
      </c>
      <c r="K713" s="4"/>
      <c r="L713" s="9">
        <v>29.306000000000001</v>
      </c>
      <c r="M713" s="9">
        <v>12.063700000000001</v>
      </c>
      <c r="N713" s="9">
        <v>4.9444999999999997</v>
      </c>
      <c r="O713" s="9">
        <v>0.37409999999999999</v>
      </c>
      <c r="P713" s="9">
        <v>1.2927</v>
      </c>
      <c r="Q713" s="9">
        <v>19.688099999999999</v>
      </c>
      <c r="R713" s="9"/>
      <c r="S713" s="11"/>
    </row>
    <row r="714" spans="1:19" ht="15.75">
      <c r="A714" s="13">
        <v>63248</v>
      </c>
      <c r="B714" s="8">
        <f>21.064 * CHOOSE(CONTROL!$C$15, $D$11, 100%, $F$11)</f>
        <v>21.064</v>
      </c>
      <c r="C714" s="8">
        <f>21.0748 * CHOOSE(CONTROL!$C$15, $D$11, 100%, $F$11)</f>
        <v>21.0748</v>
      </c>
      <c r="D714" s="8">
        <f>21.0562 * CHOOSE( CONTROL!$C$15, $D$11, 100%, $F$11)</f>
        <v>21.0562</v>
      </c>
      <c r="E714" s="12">
        <f>21.0619 * CHOOSE( CONTROL!$C$15, $D$11, 100%, $F$11)</f>
        <v>21.061900000000001</v>
      </c>
      <c r="F714" s="4">
        <f>21.7251 * CHOOSE(CONTROL!$C$15, $D$11, 100%, $F$11)</f>
        <v>21.725100000000001</v>
      </c>
      <c r="G714" s="8">
        <f>20.5865 * CHOOSE( CONTROL!$C$15, $D$11, 100%, $F$11)</f>
        <v>20.586500000000001</v>
      </c>
      <c r="H714" s="4">
        <f>21.4748 * CHOOSE(CONTROL!$C$15, $D$11, 100%, $F$11)</f>
        <v>21.474799999999998</v>
      </c>
      <c r="I714" s="8">
        <f>20.3381 * CHOOSE(CONTROL!$C$15, $D$11, 100%, $F$11)</f>
        <v>20.338100000000001</v>
      </c>
      <c r="J714" s="4">
        <f>20.2091 * CHOOSE(CONTROL!$C$15, $D$11, 100%, $F$11)</f>
        <v>20.209099999999999</v>
      </c>
      <c r="K714" s="4"/>
      <c r="L714" s="9">
        <v>26.469899999999999</v>
      </c>
      <c r="M714" s="9">
        <v>10.8962</v>
      </c>
      <c r="N714" s="9">
        <v>4.4660000000000002</v>
      </c>
      <c r="O714" s="9">
        <v>0.33789999999999998</v>
      </c>
      <c r="P714" s="9">
        <v>1.1676</v>
      </c>
      <c r="Q714" s="9">
        <v>17.782800000000002</v>
      </c>
      <c r="R714" s="9"/>
      <c r="S714" s="11"/>
    </row>
    <row r="715" spans="1:19" ht="15.75">
      <c r="A715" s="13">
        <v>63279</v>
      </c>
      <c r="B715" s="8">
        <f>20.6159 * CHOOSE(CONTROL!$C$15, $D$11, 100%, $F$11)</f>
        <v>20.6159</v>
      </c>
      <c r="C715" s="8">
        <f>20.6267 * CHOOSE(CONTROL!$C$15, $D$11, 100%, $F$11)</f>
        <v>20.6267</v>
      </c>
      <c r="D715" s="8">
        <f>20.6077 * CHOOSE( CONTROL!$C$15, $D$11, 100%, $F$11)</f>
        <v>20.607700000000001</v>
      </c>
      <c r="E715" s="12">
        <f>20.6135 * CHOOSE( CONTROL!$C$15, $D$11, 100%, $F$11)</f>
        <v>20.613499999999998</v>
      </c>
      <c r="F715" s="4">
        <f>21.2771 * CHOOSE(CONTROL!$C$15, $D$11, 100%, $F$11)</f>
        <v>21.277100000000001</v>
      </c>
      <c r="G715" s="8">
        <f>20.148 * CHOOSE( CONTROL!$C$15, $D$11, 100%, $F$11)</f>
        <v>20.148</v>
      </c>
      <c r="H715" s="4">
        <f>21.0367 * CHOOSE(CONTROL!$C$15, $D$11, 100%, $F$11)</f>
        <v>21.0367</v>
      </c>
      <c r="I715" s="8">
        <f>19.9061 * CHOOSE(CONTROL!$C$15, $D$11, 100%, $F$11)</f>
        <v>19.906099999999999</v>
      </c>
      <c r="J715" s="4">
        <f>19.7789 * CHOOSE(CONTROL!$C$15, $D$11, 100%, $F$11)</f>
        <v>19.7789</v>
      </c>
      <c r="K715" s="4"/>
      <c r="L715" s="9">
        <v>29.306000000000001</v>
      </c>
      <c r="M715" s="9">
        <v>12.063700000000001</v>
      </c>
      <c r="N715" s="9">
        <v>4.9444999999999997</v>
      </c>
      <c r="O715" s="9">
        <v>0.37409999999999999</v>
      </c>
      <c r="P715" s="9">
        <v>1.2927</v>
      </c>
      <c r="Q715" s="9">
        <v>19.688099999999999</v>
      </c>
      <c r="R715" s="9"/>
      <c r="S715" s="11"/>
    </row>
    <row r="716" spans="1:19" ht="15.75">
      <c r="A716" s="13">
        <v>63309</v>
      </c>
      <c r="B716" s="8">
        <f>20.929 * CHOOSE(CONTROL!$C$15, $D$11, 100%, $F$11)</f>
        <v>20.928999999999998</v>
      </c>
      <c r="C716" s="8">
        <f>20.9398 * CHOOSE(CONTROL!$C$15, $D$11, 100%, $F$11)</f>
        <v>20.939800000000002</v>
      </c>
      <c r="D716" s="8">
        <f>20.9746 * CHOOSE( CONTROL!$C$15, $D$11, 100%, $F$11)</f>
        <v>20.974599999999999</v>
      </c>
      <c r="E716" s="12">
        <f>20.9619 * CHOOSE( CONTROL!$C$15, $D$11, 100%, $F$11)</f>
        <v>20.9619</v>
      </c>
      <c r="F716" s="4">
        <f>21.6579 * CHOOSE(CONTROL!$C$15, $D$11, 100%, $F$11)</f>
        <v>21.657900000000001</v>
      </c>
      <c r="G716" s="8">
        <f>20.4569 * CHOOSE( CONTROL!$C$15, $D$11, 100%, $F$11)</f>
        <v>20.456900000000001</v>
      </c>
      <c r="H716" s="4">
        <f>21.409 * CHOOSE(CONTROL!$C$15, $D$11, 100%, $F$11)</f>
        <v>21.408999999999999</v>
      </c>
      <c r="I716" s="8">
        <f>20.2022 * CHOOSE(CONTROL!$C$15, $D$11, 100%, $F$11)</f>
        <v>20.202200000000001</v>
      </c>
      <c r="J716" s="4">
        <f>20.0795 * CHOOSE(CONTROL!$C$15, $D$11, 100%, $F$11)</f>
        <v>20.079499999999999</v>
      </c>
      <c r="K716" s="4"/>
      <c r="L716" s="9">
        <v>30.092199999999998</v>
      </c>
      <c r="M716" s="9">
        <v>11.6745</v>
      </c>
      <c r="N716" s="9">
        <v>4.7850000000000001</v>
      </c>
      <c r="O716" s="9">
        <v>0.36199999999999999</v>
      </c>
      <c r="P716" s="9">
        <v>1.1791</v>
      </c>
      <c r="Q716" s="9">
        <v>19.053000000000001</v>
      </c>
      <c r="R716" s="9"/>
      <c r="S716" s="11"/>
    </row>
    <row r="717" spans="1:19" ht="15.75">
      <c r="A717" s="13">
        <v>63340</v>
      </c>
      <c r="B717" s="8">
        <f>CHOOSE( CONTROL!$C$32, 21.4885, 21.4862) * CHOOSE(CONTROL!$C$15, $D$11, 100%, $F$11)</f>
        <v>21.488499999999998</v>
      </c>
      <c r="C717" s="8">
        <f>CHOOSE( CONTROL!$C$32, 21.4991, 21.4968) * CHOOSE(CONTROL!$C$15, $D$11, 100%, $F$11)</f>
        <v>21.499099999999999</v>
      </c>
      <c r="D717" s="8">
        <f>CHOOSE( CONTROL!$C$32, 21.5329, 21.5306) * CHOOSE( CONTROL!$C$15, $D$11, 100%, $F$11)</f>
        <v>21.532900000000001</v>
      </c>
      <c r="E717" s="12">
        <f>CHOOSE( CONTROL!$C$32, 21.519, 21.5167) * CHOOSE( CONTROL!$C$15, $D$11, 100%, $F$11)</f>
        <v>21.518999999999998</v>
      </c>
      <c r="F717" s="4">
        <f>CHOOSE( CONTROL!$C$32, 22.2174, 22.2151) * CHOOSE(CONTROL!$C$15, $D$11, 100%, $F$11)</f>
        <v>22.217400000000001</v>
      </c>
      <c r="G717" s="8">
        <f>CHOOSE( CONTROL!$C$32, 21.0045, 21.0023) * CHOOSE( CONTROL!$C$15, $D$11, 100%, $F$11)</f>
        <v>21.0045</v>
      </c>
      <c r="H717" s="4">
        <f>CHOOSE( CONTROL!$C$32, 21.9561, 21.9538) * CHOOSE(CONTROL!$C$15, $D$11, 100%, $F$11)</f>
        <v>21.956099999999999</v>
      </c>
      <c r="I717" s="8">
        <f>CHOOSE( CONTROL!$C$32, 20.7398, 20.7376) * CHOOSE(CONTROL!$C$15, $D$11, 100%, $F$11)</f>
        <v>20.739799999999999</v>
      </c>
      <c r="J717" s="4">
        <f>CHOOSE( CONTROL!$C$32, 20.6168, 20.6146) * CHOOSE(CONTROL!$C$15, $D$11, 100%, $F$11)</f>
        <v>20.616800000000001</v>
      </c>
      <c r="K717" s="4"/>
      <c r="L717" s="9">
        <v>30.7165</v>
      </c>
      <c r="M717" s="9">
        <v>12.063700000000001</v>
      </c>
      <c r="N717" s="9">
        <v>4.9444999999999997</v>
      </c>
      <c r="O717" s="9">
        <v>0.37409999999999999</v>
      </c>
      <c r="P717" s="9">
        <v>1.2183999999999999</v>
      </c>
      <c r="Q717" s="9">
        <v>19.688099999999999</v>
      </c>
      <c r="R717" s="9"/>
      <c r="S717" s="11"/>
    </row>
    <row r="718" spans="1:19" ht="15.75">
      <c r="A718" s="13">
        <v>63370</v>
      </c>
      <c r="B718" s="8">
        <f>CHOOSE( CONTROL!$C$32, 21.1433, 21.141) * CHOOSE(CONTROL!$C$15, $D$11, 100%, $F$11)</f>
        <v>21.1433</v>
      </c>
      <c r="C718" s="8">
        <f>CHOOSE( CONTROL!$C$32, 21.1538, 21.1515) * CHOOSE(CONTROL!$C$15, $D$11, 100%, $F$11)</f>
        <v>21.1538</v>
      </c>
      <c r="D718" s="8">
        <f>CHOOSE( CONTROL!$C$32, 21.1878, 21.1855) * CHOOSE( CONTROL!$C$15, $D$11, 100%, $F$11)</f>
        <v>21.187799999999999</v>
      </c>
      <c r="E718" s="12">
        <f>CHOOSE( CONTROL!$C$32, 21.1739, 21.1716) * CHOOSE( CONTROL!$C$15, $D$11, 100%, $F$11)</f>
        <v>21.1739</v>
      </c>
      <c r="F718" s="4">
        <f>CHOOSE( CONTROL!$C$32, 21.8722, 21.8699) * CHOOSE(CONTROL!$C$15, $D$11, 100%, $F$11)</f>
        <v>21.872199999999999</v>
      </c>
      <c r="G718" s="8">
        <f>CHOOSE( CONTROL!$C$32, 20.6672, 20.665) * CHOOSE( CONTROL!$C$15, $D$11, 100%, $F$11)</f>
        <v>20.667200000000001</v>
      </c>
      <c r="H718" s="4">
        <f>CHOOSE( CONTROL!$C$32, 21.6186, 21.6163) * CHOOSE(CONTROL!$C$15, $D$11, 100%, $F$11)</f>
        <v>21.618600000000001</v>
      </c>
      <c r="I718" s="8">
        <f>CHOOSE( CONTROL!$C$32, 20.4089, 20.4067) * CHOOSE(CONTROL!$C$15, $D$11, 100%, $F$11)</f>
        <v>20.408899999999999</v>
      </c>
      <c r="J718" s="4">
        <f>CHOOSE( CONTROL!$C$32, 20.2853, 20.2831) * CHOOSE(CONTROL!$C$15, $D$11, 100%, $F$11)</f>
        <v>20.285299999999999</v>
      </c>
      <c r="K718" s="4"/>
      <c r="L718" s="9">
        <v>29.7257</v>
      </c>
      <c r="M718" s="9">
        <v>11.6745</v>
      </c>
      <c r="N718" s="9">
        <v>4.7850000000000001</v>
      </c>
      <c r="O718" s="9">
        <v>0.36199999999999999</v>
      </c>
      <c r="P718" s="9">
        <v>1.1791</v>
      </c>
      <c r="Q718" s="9">
        <v>19.053000000000001</v>
      </c>
      <c r="R718" s="9"/>
      <c r="S718" s="11"/>
    </row>
    <row r="719" spans="1:19" ht="15.75">
      <c r="A719" s="13">
        <v>63401</v>
      </c>
      <c r="B719" s="8">
        <f>CHOOSE( CONTROL!$C$32, 22.0523, 22.05) * CHOOSE(CONTROL!$C$15, $D$11, 100%, $F$11)</f>
        <v>22.052299999999999</v>
      </c>
      <c r="C719" s="8">
        <f>CHOOSE( CONTROL!$C$32, 22.0629, 22.0606) * CHOOSE(CONTROL!$C$15, $D$11, 100%, $F$11)</f>
        <v>22.062899999999999</v>
      </c>
      <c r="D719" s="8">
        <f>CHOOSE( CONTROL!$C$32, 22.0971, 22.0948) * CHOOSE( CONTROL!$C$15, $D$11, 100%, $F$11)</f>
        <v>22.097100000000001</v>
      </c>
      <c r="E719" s="12">
        <f>CHOOSE( CONTROL!$C$32, 22.0831, 22.0808) * CHOOSE( CONTROL!$C$15, $D$11, 100%, $F$11)</f>
        <v>22.083100000000002</v>
      </c>
      <c r="F719" s="4">
        <f>CHOOSE( CONTROL!$C$32, 22.7813, 22.779) * CHOOSE(CONTROL!$C$15, $D$11, 100%, $F$11)</f>
        <v>22.781300000000002</v>
      </c>
      <c r="G719" s="8">
        <f>CHOOSE( CONTROL!$C$32, 21.5563, 21.5541) * CHOOSE( CONTROL!$C$15, $D$11, 100%, $F$11)</f>
        <v>21.5563</v>
      </c>
      <c r="H719" s="4">
        <f>CHOOSE( CONTROL!$C$32, 22.5074, 22.5051) * CHOOSE(CONTROL!$C$15, $D$11, 100%, $F$11)</f>
        <v>22.507400000000001</v>
      </c>
      <c r="I719" s="8">
        <f>CHOOSE( CONTROL!$C$32, 21.2831, 21.2809) * CHOOSE(CONTROL!$C$15, $D$11, 100%, $F$11)</f>
        <v>21.283100000000001</v>
      </c>
      <c r="J719" s="4">
        <f>CHOOSE( CONTROL!$C$32, 21.1581, 21.1559) * CHOOSE(CONTROL!$C$15, $D$11, 100%, $F$11)</f>
        <v>21.158100000000001</v>
      </c>
      <c r="K719" s="4"/>
      <c r="L719" s="9">
        <v>30.7165</v>
      </c>
      <c r="M719" s="9">
        <v>12.063700000000001</v>
      </c>
      <c r="N719" s="9">
        <v>4.9444999999999997</v>
      </c>
      <c r="O719" s="9">
        <v>0.37409999999999999</v>
      </c>
      <c r="P719" s="9">
        <v>1.2183999999999999</v>
      </c>
      <c r="Q719" s="9">
        <v>19.688099999999999</v>
      </c>
      <c r="R719" s="9"/>
      <c r="S719" s="11"/>
    </row>
    <row r="720" spans="1:19" ht="15.75">
      <c r="A720" s="13">
        <v>63432</v>
      </c>
      <c r="B720" s="8">
        <f>CHOOSE( CONTROL!$C$32, 20.3514, 20.3491) * CHOOSE(CONTROL!$C$15, $D$11, 100%, $F$11)</f>
        <v>20.351400000000002</v>
      </c>
      <c r="C720" s="8">
        <f>CHOOSE( CONTROL!$C$32, 20.362, 20.3597) * CHOOSE(CONTROL!$C$15, $D$11, 100%, $F$11)</f>
        <v>20.361999999999998</v>
      </c>
      <c r="D720" s="8">
        <f>CHOOSE( CONTROL!$C$32, 20.3962, 20.3939) * CHOOSE( CONTROL!$C$15, $D$11, 100%, $F$11)</f>
        <v>20.3962</v>
      </c>
      <c r="E720" s="12">
        <f>CHOOSE( CONTROL!$C$32, 20.3822, 20.3799) * CHOOSE( CONTROL!$C$15, $D$11, 100%, $F$11)</f>
        <v>20.382200000000001</v>
      </c>
      <c r="F720" s="4">
        <f>CHOOSE( CONTROL!$C$32, 21.0803, 21.078) * CHOOSE(CONTROL!$C$15, $D$11, 100%, $F$11)</f>
        <v>21.080300000000001</v>
      </c>
      <c r="G720" s="8">
        <f>CHOOSE( CONTROL!$C$32, 19.8934, 19.8912) * CHOOSE( CONTROL!$C$15, $D$11, 100%, $F$11)</f>
        <v>19.8934</v>
      </c>
      <c r="H720" s="4">
        <f>CHOOSE( CONTROL!$C$32, 20.8443, 20.8421) * CHOOSE(CONTROL!$C$15, $D$11, 100%, $F$11)</f>
        <v>20.8443</v>
      </c>
      <c r="I720" s="8">
        <f>CHOOSE( CONTROL!$C$32, 19.6495, 19.6473) * CHOOSE(CONTROL!$C$15, $D$11, 100%, $F$11)</f>
        <v>19.6495</v>
      </c>
      <c r="J720" s="4">
        <f>CHOOSE( CONTROL!$C$32, 19.525, 19.5228) * CHOOSE(CONTROL!$C$15, $D$11, 100%, $F$11)</f>
        <v>19.524999999999999</v>
      </c>
      <c r="K720" s="4"/>
      <c r="L720" s="9">
        <v>30.7165</v>
      </c>
      <c r="M720" s="9">
        <v>12.063700000000001</v>
      </c>
      <c r="N720" s="9">
        <v>4.9444999999999997</v>
      </c>
      <c r="O720" s="9">
        <v>0.37409999999999999</v>
      </c>
      <c r="P720" s="9">
        <v>1.2183999999999999</v>
      </c>
      <c r="Q720" s="9">
        <v>19.688099999999999</v>
      </c>
      <c r="R720" s="9"/>
      <c r="S720" s="11"/>
    </row>
    <row r="721" spans="1:19" ht="15.75">
      <c r="A721" s="13">
        <v>63462</v>
      </c>
      <c r="B721" s="8">
        <f>CHOOSE( CONTROL!$C$32, 19.9255, 19.9232) * CHOOSE(CONTROL!$C$15, $D$11, 100%, $F$11)</f>
        <v>19.9255</v>
      </c>
      <c r="C721" s="8">
        <f>CHOOSE( CONTROL!$C$32, 19.936, 19.9337) * CHOOSE(CONTROL!$C$15, $D$11, 100%, $F$11)</f>
        <v>19.936</v>
      </c>
      <c r="D721" s="8">
        <f>CHOOSE( CONTROL!$C$32, 19.9703, 19.968) * CHOOSE( CONTROL!$C$15, $D$11, 100%, $F$11)</f>
        <v>19.970300000000002</v>
      </c>
      <c r="E721" s="12">
        <f>CHOOSE( CONTROL!$C$32, 19.9563, 19.954) * CHOOSE( CONTROL!$C$15, $D$11, 100%, $F$11)</f>
        <v>19.956299999999999</v>
      </c>
      <c r="F721" s="4">
        <f>CHOOSE( CONTROL!$C$32, 20.6544, 20.6521) * CHOOSE(CONTROL!$C$15, $D$11, 100%, $F$11)</f>
        <v>20.654399999999999</v>
      </c>
      <c r="G721" s="8">
        <f>CHOOSE( CONTROL!$C$32, 19.4769, 19.4747) * CHOOSE( CONTROL!$C$15, $D$11, 100%, $F$11)</f>
        <v>19.476900000000001</v>
      </c>
      <c r="H721" s="4">
        <f>CHOOSE( CONTROL!$C$32, 20.4279, 20.4257) * CHOOSE(CONTROL!$C$15, $D$11, 100%, $F$11)</f>
        <v>20.427900000000001</v>
      </c>
      <c r="I721" s="8">
        <f>CHOOSE( CONTROL!$C$32, 19.2402, 19.238) * CHOOSE(CONTROL!$C$15, $D$11, 100%, $F$11)</f>
        <v>19.240200000000002</v>
      </c>
      <c r="J721" s="4">
        <f>CHOOSE( CONTROL!$C$32, 19.1161, 19.1139) * CHOOSE(CONTROL!$C$15, $D$11, 100%, $F$11)</f>
        <v>19.116099999999999</v>
      </c>
      <c r="K721" s="4"/>
      <c r="L721" s="9">
        <v>29.7257</v>
      </c>
      <c r="M721" s="9">
        <v>11.6745</v>
      </c>
      <c r="N721" s="9">
        <v>4.7850000000000001</v>
      </c>
      <c r="O721" s="9">
        <v>0.36199999999999999</v>
      </c>
      <c r="P721" s="9">
        <v>1.1791</v>
      </c>
      <c r="Q721" s="9">
        <v>19.053000000000001</v>
      </c>
      <c r="R721" s="9"/>
      <c r="S721" s="11"/>
    </row>
    <row r="722" spans="1:19" ht="15.75">
      <c r="A722" s="13">
        <v>63493</v>
      </c>
      <c r="B722" s="8">
        <f>20.8077 * CHOOSE(CONTROL!$C$15, $D$11, 100%, $F$11)</f>
        <v>20.807700000000001</v>
      </c>
      <c r="C722" s="8">
        <f>20.8184 * CHOOSE(CONTROL!$C$15, $D$11, 100%, $F$11)</f>
        <v>20.8184</v>
      </c>
      <c r="D722" s="8">
        <f>20.8538 * CHOOSE( CONTROL!$C$15, $D$11, 100%, $F$11)</f>
        <v>20.8538</v>
      </c>
      <c r="E722" s="12">
        <f>20.841 * CHOOSE( CONTROL!$C$15, $D$11, 100%, $F$11)</f>
        <v>20.841000000000001</v>
      </c>
      <c r="F722" s="4">
        <f>21.5365 * CHOOSE(CONTROL!$C$15, $D$11, 100%, $F$11)</f>
        <v>21.5365</v>
      </c>
      <c r="G722" s="8">
        <f>20.3392 * CHOOSE( CONTROL!$C$15, $D$11, 100%, $F$11)</f>
        <v>20.339200000000002</v>
      </c>
      <c r="H722" s="4">
        <f>21.2903 * CHOOSE(CONTROL!$C$15, $D$11, 100%, $F$11)</f>
        <v>21.290299999999998</v>
      </c>
      <c r="I722" s="8">
        <f>20.0884 * CHOOSE(CONTROL!$C$15, $D$11, 100%, $F$11)</f>
        <v>20.0884</v>
      </c>
      <c r="J722" s="4">
        <f>19.963 * CHOOSE(CONTROL!$C$15, $D$11, 100%, $F$11)</f>
        <v>19.963000000000001</v>
      </c>
      <c r="K722" s="4"/>
      <c r="L722" s="9">
        <v>31.095300000000002</v>
      </c>
      <c r="M722" s="9">
        <v>12.063700000000001</v>
      </c>
      <c r="N722" s="9">
        <v>4.9444999999999997</v>
      </c>
      <c r="O722" s="9">
        <v>0.37409999999999999</v>
      </c>
      <c r="P722" s="9">
        <v>1.2183999999999999</v>
      </c>
      <c r="Q722" s="9">
        <v>19.688099999999999</v>
      </c>
      <c r="R722" s="9"/>
      <c r="S722" s="11"/>
    </row>
    <row r="723" spans="1:19" ht="15.75">
      <c r="A723" s="13">
        <v>63523</v>
      </c>
      <c r="B723" s="8">
        <f>22.4401 * CHOOSE(CONTROL!$C$15, $D$11, 100%, $F$11)</f>
        <v>22.440100000000001</v>
      </c>
      <c r="C723" s="8">
        <f>22.4509 * CHOOSE(CONTROL!$C$15, $D$11, 100%, $F$11)</f>
        <v>22.450900000000001</v>
      </c>
      <c r="D723" s="8">
        <f>22.4269 * CHOOSE( CONTROL!$C$15, $D$11, 100%, $F$11)</f>
        <v>22.4269</v>
      </c>
      <c r="E723" s="12">
        <f>22.4345 * CHOOSE( CONTROL!$C$15, $D$11, 100%, $F$11)</f>
        <v>22.4345</v>
      </c>
      <c r="F723" s="4">
        <f>23.1012 * CHOOSE(CONTROL!$C$15, $D$11, 100%, $F$11)</f>
        <v>23.101199999999999</v>
      </c>
      <c r="G723" s="8">
        <f>21.9352 * CHOOSE( CONTROL!$C$15, $D$11, 100%, $F$11)</f>
        <v>21.935199999999998</v>
      </c>
      <c r="H723" s="4">
        <f>22.8201 * CHOOSE(CONTROL!$C$15, $D$11, 100%, $F$11)</f>
        <v>22.8201</v>
      </c>
      <c r="I723" s="8">
        <f>21.6998 * CHOOSE(CONTROL!$C$15, $D$11, 100%, $F$11)</f>
        <v>21.6998</v>
      </c>
      <c r="J723" s="4">
        <f>21.5303 * CHOOSE(CONTROL!$C$15, $D$11, 100%, $F$11)</f>
        <v>21.5303</v>
      </c>
      <c r="K723" s="4"/>
      <c r="L723" s="9">
        <v>28.360600000000002</v>
      </c>
      <c r="M723" s="9">
        <v>11.6745</v>
      </c>
      <c r="N723" s="9">
        <v>4.7850000000000001</v>
      </c>
      <c r="O723" s="9">
        <v>0.36199999999999999</v>
      </c>
      <c r="P723" s="9">
        <v>1.2509999999999999</v>
      </c>
      <c r="Q723" s="9">
        <v>19.053000000000001</v>
      </c>
      <c r="R723" s="9"/>
      <c r="S723" s="11"/>
    </row>
    <row r="724" spans="1:19" ht="15.75">
      <c r="A724" s="13">
        <v>63554</v>
      </c>
      <c r="B724" s="8">
        <f>22.3993 * CHOOSE(CONTROL!$C$15, $D$11, 100%, $F$11)</f>
        <v>22.3993</v>
      </c>
      <c r="C724" s="8">
        <f>22.4101 * CHOOSE(CONTROL!$C$15, $D$11, 100%, $F$11)</f>
        <v>22.4101</v>
      </c>
      <c r="D724" s="8">
        <f>22.3878 * CHOOSE( CONTROL!$C$15, $D$11, 100%, $F$11)</f>
        <v>22.387799999999999</v>
      </c>
      <c r="E724" s="12">
        <f>22.3948 * CHOOSE( CONTROL!$C$15, $D$11, 100%, $F$11)</f>
        <v>22.3948</v>
      </c>
      <c r="F724" s="4">
        <f>23.0604 * CHOOSE(CONTROL!$C$15, $D$11, 100%, $F$11)</f>
        <v>23.060400000000001</v>
      </c>
      <c r="G724" s="8">
        <f>21.8965 * CHOOSE( CONTROL!$C$15, $D$11, 100%, $F$11)</f>
        <v>21.8965</v>
      </c>
      <c r="H724" s="4">
        <f>22.7803 * CHOOSE(CONTROL!$C$15, $D$11, 100%, $F$11)</f>
        <v>22.7803</v>
      </c>
      <c r="I724" s="8">
        <f>21.6658 * CHOOSE(CONTROL!$C$15, $D$11, 100%, $F$11)</f>
        <v>21.665800000000001</v>
      </c>
      <c r="J724" s="4">
        <f>21.4911 * CHOOSE(CONTROL!$C$15, $D$11, 100%, $F$11)</f>
        <v>21.491099999999999</v>
      </c>
      <c r="K724" s="4"/>
      <c r="L724" s="9">
        <v>29.306000000000001</v>
      </c>
      <c r="M724" s="9">
        <v>12.063700000000001</v>
      </c>
      <c r="N724" s="9">
        <v>4.9444999999999997</v>
      </c>
      <c r="O724" s="9">
        <v>0.37409999999999999</v>
      </c>
      <c r="P724" s="9">
        <v>1.2927</v>
      </c>
      <c r="Q724" s="9">
        <v>19.688099999999999</v>
      </c>
      <c r="R724" s="9"/>
      <c r="S724" s="11"/>
    </row>
    <row r="725" spans="1:19" ht="15.75">
      <c r="A725" s="13">
        <v>63585</v>
      </c>
      <c r="B725" s="8">
        <f>23.0596 * CHOOSE(CONTROL!$C$15, $D$11, 100%, $F$11)</f>
        <v>23.0596</v>
      </c>
      <c r="C725" s="8">
        <f>23.0703 * CHOOSE(CONTROL!$C$15, $D$11, 100%, $F$11)</f>
        <v>23.0703</v>
      </c>
      <c r="D725" s="8">
        <f>23.0519 * CHOOSE( CONTROL!$C$15, $D$11, 100%, $F$11)</f>
        <v>23.0519</v>
      </c>
      <c r="E725" s="12">
        <f>23.0575 * CHOOSE( CONTROL!$C$15, $D$11, 100%, $F$11)</f>
        <v>23.057500000000001</v>
      </c>
      <c r="F725" s="4">
        <f>23.7207 * CHOOSE(CONTROL!$C$15, $D$11, 100%, $F$11)</f>
        <v>23.720700000000001</v>
      </c>
      <c r="G725" s="8">
        <f>22.5376 * CHOOSE( CONTROL!$C$15, $D$11, 100%, $F$11)</f>
        <v>22.537600000000001</v>
      </c>
      <c r="H725" s="4">
        <f>23.4258 * CHOOSE(CONTROL!$C$15, $D$11, 100%, $F$11)</f>
        <v>23.425799999999999</v>
      </c>
      <c r="I725" s="8">
        <f>22.2554 * CHOOSE(CONTROL!$C$15, $D$11, 100%, $F$11)</f>
        <v>22.255400000000002</v>
      </c>
      <c r="J725" s="4">
        <f>22.125 * CHOOSE(CONTROL!$C$15, $D$11, 100%, $F$11)</f>
        <v>22.125</v>
      </c>
      <c r="K725" s="4"/>
      <c r="L725" s="9">
        <v>29.306000000000001</v>
      </c>
      <c r="M725" s="9">
        <v>12.063700000000001</v>
      </c>
      <c r="N725" s="9">
        <v>4.9444999999999997</v>
      </c>
      <c r="O725" s="9">
        <v>0.37409999999999999</v>
      </c>
      <c r="P725" s="9">
        <v>1.2927</v>
      </c>
      <c r="Q725" s="9">
        <v>19.688099999999999</v>
      </c>
      <c r="R725" s="9"/>
      <c r="S725" s="11"/>
    </row>
    <row r="726" spans="1:19" ht="15.75">
      <c r="A726" s="13">
        <v>63613</v>
      </c>
      <c r="B726" s="8">
        <f>21.5698 * CHOOSE(CONTROL!$C$15, $D$11, 100%, $F$11)</f>
        <v>21.569800000000001</v>
      </c>
      <c r="C726" s="8">
        <f>21.5805 * CHOOSE(CONTROL!$C$15, $D$11, 100%, $F$11)</f>
        <v>21.580500000000001</v>
      </c>
      <c r="D726" s="8">
        <f>21.562 * CHOOSE( CONTROL!$C$15, $D$11, 100%, $F$11)</f>
        <v>21.562000000000001</v>
      </c>
      <c r="E726" s="12">
        <f>21.5676 * CHOOSE( CONTROL!$C$15, $D$11, 100%, $F$11)</f>
        <v>21.567599999999999</v>
      </c>
      <c r="F726" s="4">
        <f>22.2309 * CHOOSE(CONTROL!$C$15, $D$11, 100%, $F$11)</f>
        <v>22.230899999999998</v>
      </c>
      <c r="G726" s="8">
        <f>21.081 * CHOOSE( CONTROL!$C$15, $D$11, 100%, $F$11)</f>
        <v>21.081</v>
      </c>
      <c r="H726" s="4">
        <f>21.9692 * CHOOSE(CONTROL!$C$15, $D$11, 100%, $F$11)</f>
        <v>21.969200000000001</v>
      </c>
      <c r="I726" s="8">
        <f>20.8239 * CHOOSE(CONTROL!$C$15, $D$11, 100%, $F$11)</f>
        <v>20.823899999999998</v>
      </c>
      <c r="J726" s="4">
        <f>20.6947 * CHOOSE(CONTROL!$C$15, $D$11, 100%, $F$11)</f>
        <v>20.694700000000001</v>
      </c>
      <c r="K726" s="4"/>
      <c r="L726" s="9">
        <v>26.469899999999999</v>
      </c>
      <c r="M726" s="9">
        <v>10.8962</v>
      </c>
      <c r="N726" s="9">
        <v>4.4660000000000002</v>
      </c>
      <c r="O726" s="9">
        <v>0.33789999999999998</v>
      </c>
      <c r="P726" s="9">
        <v>1.1676</v>
      </c>
      <c r="Q726" s="9">
        <v>17.782800000000002</v>
      </c>
      <c r="R726" s="9"/>
      <c r="S726" s="11"/>
    </row>
    <row r="727" spans="1:19" ht="15.75">
      <c r="A727" s="13">
        <v>63644</v>
      </c>
      <c r="B727" s="8">
        <f>21.1109 * CHOOSE(CONTROL!$C$15, $D$11, 100%, $F$11)</f>
        <v>21.110900000000001</v>
      </c>
      <c r="C727" s="8">
        <f>21.1217 * CHOOSE(CONTROL!$C$15, $D$11, 100%, $F$11)</f>
        <v>21.121700000000001</v>
      </c>
      <c r="D727" s="8">
        <f>21.1026 * CHOOSE( CONTROL!$C$15, $D$11, 100%, $F$11)</f>
        <v>21.102599999999999</v>
      </c>
      <c r="E727" s="12">
        <f>21.1084 * CHOOSE( CONTROL!$C$15, $D$11, 100%, $F$11)</f>
        <v>21.1084</v>
      </c>
      <c r="F727" s="4">
        <f>21.772 * CHOOSE(CONTROL!$C$15, $D$11, 100%, $F$11)</f>
        <v>21.771999999999998</v>
      </c>
      <c r="G727" s="8">
        <f>20.632 * CHOOSE( CONTROL!$C$15, $D$11, 100%, $F$11)</f>
        <v>20.632000000000001</v>
      </c>
      <c r="H727" s="4">
        <f>21.5206 * CHOOSE(CONTROL!$C$15, $D$11, 100%, $F$11)</f>
        <v>21.520600000000002</v>
      </c>
      <c r="I727" s="8">
        <f>20.3816 * CHOOSE(CONTROL!$C$15, $D$11, 100%, $F$11)</f>
        <v>20.381599999999999</v>
      </c>
      <c r="J727" s="4">
        <f>20.2541 * CHOOSE(CONTROL!$C$15, $D$11, 100%, $F$11)</f>
        <v>20.254100000000001</v>
      </c>
      <c r="K727" s="4"/>
      <c r="L727" s="9">
        <v>29.306000000000001</v>
      </c>
      <c r="M727" s="9">
        <v>12.063700000000001</v>
      </c>
      <c r="N727" s="9">
        <v>4.9444999999999997</v>
      </c>
      <c r="O727" s="9">
        <v>0.37409999999999999</v>
      </c>
      <c r="P727" s="9">
        <v>1.2927</v>
      </c>
      <c r="Q727" s="9">
        <v>19.688099999999999</v>
      </c>
      <c r="R727" s="9"/>
      <c r="S727" s="11"/>
    </row>
    <row r="728" spans="1:19" ht="15.75">
      <c r="A728" s="13">
        <v>63674</v>
      </c>
      <c r="B728" s="8">
        <f>21.4315 * CHOOSE(CONTROL!$C$15, $D$11, 100%, $F$11)</f>
        <v>21.4315</v>
      </c>
      <c r="C728" s="8">
        <f>21.4423 * CHOOSE(CONTROL!$C$15, $D$11, 100%, $F$11)</f>
        <v>21.442299999999999</v>
      </c>
      <c r="D728" s="8">
        <f>21.4771 * CHOOSE( CONTROL!$C$15, $D$11, 100%, $F$11)</f>
        <v>21.4771</v>
      </c>
      <c r="E728" s="12">
        <f>21.4644 * CHOOSE( CONTROL!$C$15, $D$11, 100%, $F$11)</f>
        <v>21.464400000000001</v>
      </c>
      <c r="F728" s="4">
        <f>22.1604 * CHOOSE(CONTROL!$C$15, $D$11, 100%, $F$11)</f>
        <v>22.160399999999999</v>
      </c>
      <c r="G728" s="8">
        <f>20.9482 * CHOOSE( CONTROL!$C$15, $D$11, 100%, $F$11)</f>
        <v>20.9482</v>
      </c>
      <c r="H728" s="4">
        <f>21.9003 * CHOOSE(CONTROL!$C$15, $D$11, 100%, $F$11)</f>
        <v>21.900300000000001</v>
      </c>
      <c r="I728" s="8">
        <f>20.6849 * CHOOSE(CONTROL!$C$15, $D$11, 100%, $F$11)</f>
        <v>20.684899999999999</v>
      </c>
      <c r="J728" s="4">
        <f>20.562 * CHOOSE(CONTROL!$C$15, $D$11, 100%, $F$11)</f>
        <v>20.562000000000001</v>
      </c>
      <c r="K728" s="4"/>
      <c r="L728" s="9">
        <v>30.092199999999998</v>
      </c>
      <c r="M728" s="9">
        <v>11.6745</v>
      </c>
      <c r="N728" s="9">
        <v>4.7850000000000001</v>
      </c>
      <c r="O728" s="9">
        <v>0.36199999999999999</v>
      </c>
      <c r="P728" s="9">
        <v>1.1791</v>
      </c>
      <c r="Q728" s="9">
        <v>19.053000000000001</v>
      </c>
      <c r="R728" s="9"/>
      <c r="S728" s="11"/>
    </row>
    <row r="729" spans="1:19" ht="15.75">
      <c r="A729" s="13">
        <v>63705</v>
      </c>
      <c r="B729" s="8">
        <f>CHOOSE( CONTROL!$C$32, 22.0044, 22.0021) * CHOOSE(CONTROL!$C$15, $D$11, 100%, $F$11)</f>
        <v>22.0044</v>
      </c>
      <c r="C729" s="8">
        <f>CHOOSE( CONTROL!$C$32, 22.015, 22.0127) * CHOOSE(CONTROL!$C$15, $D$11, 100%, $F$11)</f>
        <v>22.015000000000001</v>
      </c>
      <c r="D729" s="8">
        <f>CHOOSE( CONTROL!$C$32, 22.0488, 22.0465) * CHOOSE( CONTROL!$C$15, $D$11, 100%, $F$11)</f>
        <v>22.0488</v>
      </c>
      <c r="E729" s="12">
        <f>CHOOSE( CONTROL!$C$32, 22.0349, 22.0326) * CHOOSE( CONTROL!$C$15, $D$11, 100%, $F$11)</f>
        <v>22.0349</v>
      </c>
      <c r="F729" s="4">
        <f>CHOOSE( CONTROL!$C$32, 22.7333, 22.731) * CHOOSE(CONTROL!$C$15, $D$11, 100%, $F$11)</f>
        <v>22.7333</v>
      </c>
      <c r="G729" s="8">
        <f>CHOOSE( CONTROL!$C$32, 21.5089, 21.5067) * CHOOSE( CONTROL!$C$15, $D$11, 100%, $F$11)</f>
        <v>21.508900000000001</v>
      </c>
      <c r="H729" s="4">
        <f>CHOOSE( CONTROL!$C$32, 22.4605, 22.4582) * CHOOSE(CONTROL!$C$15, $D$11, 100%, $F$11)</f>
        <v>22.4605</v>
      </c>
      <c r="I729" s="8">
        <f>CHOOSE( CONTROL!$C$32, 21.2353, 21.2331) * CHOOSE(CONTROL!$C$15, $D$11, 100%, $F$11)</f>
        <v>21.235299999999999</v>
      </c>
      <c r="J729" s="4">
        <f>CHOOSE( CONTROL!$C$32, 21.1121, 21.1099) * CHOOSE(CONTROL!$C$15, $D$11, 100%, $F$11)</f>
        <v>21.112100000000002</v>
      </c>
      <c r="K729" s="4"/>
      <c r="L729" s="9">
        <v>30.7165</v>
      </c>
      <c r="M729" s="9">
        <v>12.063700000000001</v>
      </c>
      <c r="N729" s="9">
        <v>4.9444999999999997</v>
      </c>
      <c r="O729" s="9">
        <v>0.37409999999999999</v>
      </c>
      <c r="P729" s="9">
        <v>1.2183999999999999</v>
      </c>
      <c r="Q729" s="9">
        <v>19.688099999999999</v>
      </c>
      <c r="R729" s="9"/>
      <c r="S729" s="11"/>
    </row>
    <row r="730" spans="1:19" ht="15.75">
      <c r="A730" s="13">
        <v>63735</v>
      </c>
      <c r="B730" s="8">
        <f>CHOOSE( CONTROL!$C$32, 21.6509, 21.6486) * CHOOSE(CONTROL!$C$15, $D$11, 100%, $F$11)</f>
        <v>21.6509</v>
      </c>
      <c r="C730" s="8">
        <f>CHOOSE( CONTROL!$C$32, 21.6615, 21.6592) * CHOOSE(CONTROL!$C$15, $D$11, 100%, $F$11)</f>
        <v>21.6615</v>
      </c>
      <c r="D730" s="8">
        <f>CHOOSE( CONTROL!$C$32, 21.6954, 21.6931) * CHOOSE( CONTROL!$C$15, $D$11, 100%, $F$11)</f>
        <v>21.695399999999999</v>
      </c>
      <c r="E730" s="12">
        <f>CHOOSE( CONTROL!$C$32, 21.6815, 21.6792) * CHOOSE( CONTROL!$C$15, $D$11, 100%, $F$11)</f>
        <v>21.6815</v>
      </c>
      <c r="F730" s="4">
        <f>CHOOSE( CONTROL!$C$32, 22.3798, 22.3775) * CHOOSE(CONTROL!$C$15, $D$11, 100%, $F$11)</f>
        <v>22.379799999999999</v>
      </c>
      <c r="G730" s="8">
        <f>CHOOSE( CONTROL!$C$32, 21.1635, 21.1613) * CHOOSE( CONTROL!$C$15, $D$11, 100%, $F$11)</f>
        <v>21.163499999999999</v>
      </c>
      <c r="H730" s="4">
        <f>CHOOSE( CONTROL!$C$32, 22.1149, 22.1126) * CHOOSE(CONTROL!$C$15, $D$11, 100%, $F$11)</f>
        <v>22.114899999999999</v>
      </c>
      <c r="I730" s="8">
        <f>CHOOSE( CONTROL!$C$32, 20.8965, 20.8943) * CHOOSE(CONTROL!$C$15, $D$11, 100%, $F$11)</f>
        <v>20.8965</v>
      </c>
      <c r="J730" s="4">
        <f>CHOOSE( CONTROL!$C$32, 20.7727, 20.7705) * CHOOSE(CONTROL!$C$15, $D$11, 100%, $F$11)</f>
        <v>20.7727</v>
      </c>
      <c r="K730" s="4"/>
      <c r="L730" s="9">
        <v>29.7257</v>
      </c>
      <c r="M730" s="9">
        <v>11.6745</v>
      </c>
      <c r="N730" s="9">
        <v>4.7850000000000001</v>
      </c>
      <c r="O730" s="9">
        <v>0.36199999999999999</v>
      </c>
      <c r="P730" s="9">
        <v>1.1791</v>
      </c>
      <c r="Q730" s="9">
        <v>19.053000000000001</v>
      </c>
      <c r="R730" s="9"/>
      <c r="S730" s="11"/>
    </row>
    <row r="731" spans="1:19" ht="15.75">
      <c r="A731" s="13">
        <v>63766</v>
      </c>
      <c r="B731" s="8">
        <f>CHOOSE( CONTROL!$C$32, 22.5818, 22.5795) * CHOOSE(CONTROL!$C$15, $D$11, 100%, $F$11)</f>
        <v>22.581800000000001</v>
      </c>
      <c r="C731" s="8">
        <f>CHOOSE( CONTROL!$C$32, 22.5924, 22.5901) * CHOOSE(CONTROL!$C$15, $D$11, 100%, $F$11)</f>
        <v>22.592400000000001</v>
      </c>
      <c r="D731" s="8">
        <f>CHOOSE( CONTROL!$C$32, 22.6266, 22.6243) * CHOOSE( CONTROL!$C$15, $D$11, 100%, $F$11)</f>
        <v>22.6266</v>
      </c>
      <c r="E731" s="12">
        <f>CHOOSE( CONTROL!$C$32, 22.6126, 22.6103) * CHOOSE( CONTROL!$C$15, $D$11, 100%, $F$11)</f>
        <v>22.6126</v>
      </c>
      <c r="F731" s="4">
        <f>CHOOSE( CONTROL!$C$32, 23.3107, 23.3084) * CHOOSE(CONTROL!$C$15, $D$11, 100%, $F$11)</f>
        <v>23.310700000000001</v>
      </c>
      <c r="G731" s="8">
        <f>CHOOSE( CONTROL!$C$32, 22.074, 22.0717) * CHOOSE( CONTROL!$C$15, $D$11, 100%, $F$11)</f>
        <v>22.074000000000002</v>
      </c>
      <c r="H731" s="4">
        <f>CHOOSE( CONTROL!$C$32, 23.025, 23.0228) * CHOOSE(CONTROL!$C$15, $D$11, 100%, $F$11)</f>
        <v>23.024999999999999</v>
      </c>
      <c r="I731" s="8">
        <f>CHOOSE( CONTROL!$C$32, 21.7917, 21.7895) * CHOOSE(CONTROL!$C$15, $D$11, 100%, $F$11)</f>
        <v>21.791699999999999</v>
      </c>
      <c r="J731" s="4">
        <f>CHOOSE( CONTROL!$C$32, 21.6664, 21.6642) * CHOOSE(CONTROL!$C$15, $D$11, 100%, $F$11)</f>
        <v>21.666399999999999</v>
      </c>
      <c r="K731" s="4"/>
      <c r="L731" s="9">
        <v>30.7165</v>
      </c>
      <c r="M731" s="9">
        <v>12.063700000000001</v>
      </c>
      <c r="N731" s="9">
        <v>4.9444999999999997</v>
      </c>
      <c r="O731" s="9">
        <v>0.37409999999999999</v>
      </c>
      <c r="P731" s="9">
        <v>1.2183999999999999</v>
      </c>
      <c r="Q731" s="9">
        <v>19.688099999999999</v>
      </c>
      <c r="R731" s="9"/>
      <c r="S731" s="11"/>
    </row>
    <row r="732" spans="1:19" ht="15.75">
      <c r="A732" s="13">
        <v>63797</v>
      </c>
      <c r="B732" s="8">
        <f>CHOOSE( CONTROL!$C$32, 20.84, 20.8377) * CHOOSE(CONTROL!$C$15, $D$11, 100%, $F$11)</f>
        <v>20.84</v>
      </c>
      <c r="C732" s="8">
        <f>CHOOSE( CONTROL!$C$32, 20.8505, 20.8482) * CHOOSE(CONTROL!$C$15, $D$11, 100%, $F$11)</f>
        <v>20.8505</v>
      </c>
      <c r="D732" s="8">
        <f>CHOOSE( CONTROL!$C$32, 20.8848, 20.8825) * CHOOSE( CONTROL!$C$15, $D$11, 100%, $F$11)</f>
        <v>20.884799999999998</v>
      </c>
      <c r="E732" s="12">
        <f>CHOOSE( CONTROL!$C$32, 20.8708, 20.8685) * CHOOSE( CONTROL!$C$15, $D$11, 100%, $F$11)</f>
        <v>20.870799999999999</v>
      </c>
      <c r="F732" s="4">
        <f>CHOOSE( CONTROL!$C$32, 21.5689, 21.5666) * CHOOSE(CONTROL!$C$15, $D$11, 100%, $F$11)</f>
        <v>21.568899999999999</v>
      </c>
      <c r="G732" s="8">
        <f>CHOOSE( CONTROL!$C$32, 20.3711, 20.3689) * CHOOSE( CONTROL!$C$15, $D$11, 100%, $F$11)</f>
        <v>20.371099999999998</v>
      </c>
      <c r="H732" s="4">
        <f>CHOOSE( CONTROL!$C$32, 21.322, 21.3198) * CHOOSE(CONTROL!$C$15, $D$11, 100%, $F$11)</f>
        <v>21.321999999999999</v>
      </c>
      <c r="I732" s="8">
        <f>CHOOSE( CONTROL!$C$32, 20.1188, 20.1166) * CHOOSE(CONTROL!$C$15, $D$11, 100%, $F$11)</f>
        <v>20.1188</v>
      </c>
      <c r="J732" s="4">
        <f>CHOOSE( CONTROL!$C$32, 19.9941, 19.9919) * CHOOSE(CONTROL!$C$15, $D$11, 100%, $F$11)</f>
        <v>19.9941</v>
      </c>
      <c r="K732" s="4"/>
      <c r="L732" s="9">
        <v>30.7165</v>
      </c>
      <c r="M732" s="9">
        <v>12.063700000000001</v>
      </c>
      <c r="N732" s="9">
        <v>4.9444999999999997</v>
      </c>
      <c r="O732" s="9">
        <v>0.37409999999999999</v>
      </c>
      <c r="P732" s="9">
        <v>1.2183999999999999</v>
      </c>
      <c r="Q732" s="9">
        <v>19.688099999999999</v>
      </c>
      <c r="R732" s="9"/>
      <c r="S732" s="11"/>
    </row>
    <row r="733" spans="1:19" ht="15.75">
      <c r="A733" s="13">
        <v>63827</v>
      </c>
      <c r="B733" s="8">
        <f>CHOOSE( CONTROL!$C$32, 20.4038, 20.4015) * CHOOSE(CONTROL!$C$15, $D$11, 100%, $F$11)</f>
        <v>20.4038</v>
      </c>
      <c r="C733" s="8">
        <f>CHOOSE( CONTROL!$C$32, 20.4144, 20.4121) * CHOOSE(CONTROL!$C$15, $D$11, 100%, $F$11)</f>
        <v>20.414400000000001</v>
      </c>
      <c r="D733" s="8">
        <f>CHOOSE( CONTROL!$C$32, 20.4486, 20.4463) * CHOOSE( CONTROL!$C$15, $D$11, 100%, $F$11)</f>
        <v>20.448599999999999</v>
      </c>
      <c r="E733" s="12">
        <f>CHOOSE( CONTROL!$C$32, 20.4346, 20.4323) * CHOOSE( CONTROL!$C$15, $D$11, 100%, $F$11)</f>
        <v>20.4346</v>
      </c>
      <c r="F733" s="4">
        <f>CHOOSE( CONTROL!$C$32, 21.1327, 21.1304) * CHOOSE(CONTROL!$C$15, $D$11, 100%, $F$11)</f>
        <v>21.1327</v>
      </c>
      <c r="G733" s="8">
        <f>CHOOSE( CONTROL!$C$32, 19.9446, 19.9424) * CHOOSE( CONTROL!$C$15, $D$11, 100%, $F$11)</f>
        <v>19.944600000000001</v>
      </c>
      <c r="H733" s="4">
        <f>CHOOSE( CONTROL!$C$32, 20.8956, 20.8933) * CHOOSE(CONTROL!$C$15, $D$11, 100%, $F$11)</f>
        <v>20.895600000000002</v>
      </c>
      <c r="I733" s="8">
        <f>CHOOSE( CONTROL!$C$32, 19.6997, 19.6975) * CHOOSE(CONTROL!$C$15, $D$11, 100%, $F$11)</f>
        <v>19.6997</v>
      </c>
      <c r="J733" s="4">
        <f>CHOOSE( CONTROL!$C$32, 19.5754, 19.5731) * CHOOSE(CONTROL!$C$15, $D$11, 100%, $F$11)</f>
        <v>19.575399999999998</v>
      </c>
      <c r="K733" s="4"/>
      <c r="L733" s="9">
        <v>29.7257</v>
      </c>
      <c r="M733" s="9">
        <v>11.6745</v>
      </c>
      <c r="N733" s="9">
        <v>4.7850000000000001</v>
      </c>
      <c r="O733" s="9">
        <v>0.36199999999999999</v>
      </c>
      <c r="P733" s="9">
        <v>1.1791</v>
      </c>
      <c r="Q733" s="9">
        <v>19.053000000000001</v>
      </c>
      <c r="R733" s="9"/>
      <c r="S733" s="11"/>
    </row>
    <row r="734" spans="1:19" ht="15.75">
      <c r="A734" s="13">
        <v>63858</v>
      </c>
      <c r="B734" s="8">
        <f>21.3073 * CHOOSE(CONTROL!$C$15, $D$11, 100%, $F$11)</f>
        <v>21.307300000000001</v>
      </c>
      <c r="C734" s="8">
        <f>21.318 * CHOOSE(CONTROL!$C$15, $D$11, 100%, $F$11)</f>
        <v>21.318000000000001</v>
      </c>
      <c r="D734" s="8">
        <f>21.3534 * CHOOSE( CONTROL!$C$15, $D$11, 100%, $F$11)</f>
        <v>21.353400000000001</v>
      </c>
      <c r="E734" s="12">
        <f>21.3406 * CHOOSE( CONTROL!$C$15, $D$11, 100%, $F$11)</f>
        <v>21.340599999999998</v>
      </c>
      <c r="F734" s="4">
        <f>22.0361 * CHOOSE(CONTROL!$C$15, $D$11, 100%, $F$11)</f>
        <v>22.036100000000001</v>
      </c>
      <c r="G734" s="8">
        <f>20.8276 * CHOOSE( CONTROL!$C$15, $D$11, 100%, $F$11)</f>
        <v>20.8276</v>
      </c>
      <c r="H734" s="4">
        <f>21.7788 * CHOOSE(CONTROL!$C$15, $D$11, 100%, $F$11)</f>
        <v>21.7788</v>
      </c>
      <c r="I734" s="8">
        <f>20.5683 * CHOOSE(CONTROL!$C$15, $D$11, 100%, $F$11)</f>
        <v>20.568300000000001</v>
      </c>
      <c r="J734" s="4">
        <f>20.4427 * CHOOSE(CONTROL!$C$15, $D$11, 100%, $F$11)</f>
        <v>20.442699999999999</v>
      </c>
      <c r="K734" s="4"/>
      <c r="L734" s="9">
        <v>31.095300000000002</v>
      </c>
      <c r="M734" s="9">
        <v>12.063700000000001</v>
      </c>
      <c r="N734" s="9">
        <v>4.9444999999999997</v>
      </c>
      <c r="O734" s="9">
        <v>0.37409999999999999</v>
      </c>
      <c r="P734" s="9">
        <v>1.2183999999999999</v>
      </c>
      <c r="Q734" s="9">
        <v>19.688099999999999</v>
      </c>
      <c r="R734" s="9"/>
      <c r="S734" s="11"/>
    </row>
    <row r="735" spans="1:19" ht="15.75">
      <c r="A735" s="13">
        <v>63888</v>
      </c>
      <c r="B735" s="8">
        <f>22.9789 * CHOOSE(CONTROL!$C$15, $D$11, 100%, $F$11)</f>
        <v>22.978899999999999</v>
      </c>
      <c r="C735" s="8">
        <f>22.9897 * CHOOSE(CONTROL!$C$15, $D$11, 100%, $F$11)</f>
        <v>22.989699999999999</v>
      </c>
      <c r="D735" s="8">
        <f>22.9657 * CHOOSE( CONTROL!$C$15, $D$11, 100%, $F$11)</f>
        <v>22.965699999999998</v>
      </c>
      <c r="E735" s="12">
        <f>22.9733 * CHOOSE( CONTROL!$C$15, $D$11, 100%, $F$11)</f>
        <v>22.973299999999998</v>
      </c>
      <c r="F735" s="4">
        <f>23.64 * CHOOSE(CONTROL!$C$15, $D$11, 100%, $F$11)</f>
        <v>23.64</v>
      </c>
      <c r="G735" s="8">
        <f>22.462 * CHOOSE( CONTROL!$C$15, $D$11, 100%, $F$11)</f>
        <v>22.462</v>
      </c>
      <c r="H735" s="4">
        <f>23.3469 * CHOOSE(CONTROL!$C$15, $D$11, 100%, $F$11)</f>
        <v>23.346900000000002</v>
      </c>
      <c r="I735" s="8">
        <f>22.2174 * CHOOSE(CONTROL!$C$15, $D$11, 100%, $F$11)</f>
        <v>22.217400000000001</v>
      </c>
      <c r="J735" s="4">
        <f>22.0476 * CHOOSE(CONTROL!$C$15, $D$11, 100%, $F$11)</f>
        <v>22.047599999999999</v>
      </c>
      <c r="K735" s="4"/>
      <c r="L735" s="9">
        <v>28.360600000000002</v>
      </c>
      <c r="M735" s="9">
        <v>11.6745</v>
      </c>
      <c r="N735" s="9">
        <v>4.7850000000000001</v>
      </c>
      <c r="O735" s="9">
        <v>0.36199999999999999</v>
      </c>
      <c r="P735" s="9">
        <v>1.2509999999999999</v>
      </c>
      <c r="Q735" s="9">
        <v>19.053000000000001</v>
      </c>
      <c r="R735" s="9"/>
      <c r="S735" s="11"/>
    </row>
    <row r="736" spans="1:19" ht="15.75">
      <c r="A736" s="13">
        <v>63919</v>
      </c>
      <c r="B736" s="8">
        <f>22.9371 * CHOOSE(CONTROL!$C$15, $D$11, 100%, $F$11)</f>
        <v>22.937100000000001</v>
      </c>
      <c r="C736" s="8">
        <f>22.9479 * CHOOSE(CONTROL!$C$15, $D$11, 100%, $F$11)</f>
        <v>22.947900000000001</v>
      </c>
      <c r="D736" s="8">
        <f>22.9256 * CHOOSE( CONTROL!$C$15, $D$11, 100%, $F$11)</f>
        <v>22.925599999999999</v>
      </c>
      <c r="E736" s="12">
        <f>22.9326 * CHOOSE( CONTROL!$C$15, $D$11, 100%, $F$11)</f>
        <v>22.932600000000001</v>
      </c>
      <c r="F736" s="4">
        <f>23.5983 * CHOOSE(CONTROL!$C$15, $D$11, 100%, $F$11)</f>
        <v>23.598299999999998</v>
      </c>
      <c r="G736" s="8">
        <f>22.4223 * CHOOSE( CONTROL!$C$15, $D$11, 100%, $F$11)</f>
        <v>22.4223</v>
      </c>
      <c r="H736" s="4">
        <f>23.3061 * CHOOSE(CONTROL!$C$15, $D$11, 100%, $F$11)</f>
        <v>23.306100000000001</v>
      </c>
      <c r="I736" s="8">
        <f>22.1825 * CHOOSE(CONTROL!$C$15, $D$11, 100%, $F$11)</f>
        <v>22.182500000000001</v>
      </c>
      <c r="J736" s="4">
        <f>22.0075 * CHOOSE(CONTROL!$C$15, $D$11, 100%, $F$11)</f>
        <v>22.0075</v>
      </c>
      <c r="K736" s="4"/>
      <c r="L736" s="9">
        <v>29.306000000000001</v>
      </c>
      <c r="M736" s="9">
        <v>12.063700000000001</v>
      </c>
      <c r="N736" s="9">
        <v>4.9444999999999997</v>
      </c>
      <c r="O736" s="9">
        <v>0.37409999999999999</v>
      </c>
      <c r="P736" s="9">
        <v>1.2927</v>
      </c>
      <c r="Q736" s="9">
        <v>19.688099999999999</v>
      </c>
      <c r="R736" s="9"/>
      <c r="S736" s="11"/>
    </row>
    <row r="737" spans="1:19" ht="15.75">
      <c r="A737" s="13">
        <v>63950</v>
      </c>
      <c r="B737" s="8">
        <f>23.6133 * CHOOSE(CONTROL!$C$15, $D$11, 100%, $F$11)</f>
        <v>23.613299999999999</v>
      </c>
      <c r="C737" s="8">
        <f>23.624 * CHOOSE(CONTROL!$C$15, $D$11, 100%, $F$11)</f>
        <v>23.623999999999999</v>
      </c>
      <c r="D737" s="8">
        <f>23.6056 * CHOOSE( CONTROL!$C$15, $D$11, 100%, $F$11)</f>
        <v>23.605599999999999</v>
      </c>
      <c r="E737" s="12">
        <f>23.6112 * CHOOSE( CONTROL!$C$15, $D$11, 100%, $F$11)</f>
        <v>23.6112</v>
      </c>
      <c r="F737" s="4">
        <f>24.2744 * CHOOSE(CONTROL!$C$15, $D$11, 100%, $F$11)</f>
        <v>24.2744</v>
      </c>
      <c r="G737" s="8">
        <f>23.079 * CHOOSE( CONTROL!$C$15, $D$11, 100%, $F$11)</f>
        <v>23.079000000000001</v>
      </c>
      <c r="H737" s="4">
        <f>23.9672 * CHOOSE(CONTROL!$C$15, $D$11, 100%, $F$11)</f>
        <v>23.967199999999998</v>
      </c>
      <c r="I737" s="8">
        <f>22.7873 * CHOOSE(CONTROL!$C$15, $D$11, 100%, $F$11)</f>
        <v>22.787299999999998</v>
      </c>
      <c r="J737" s="4">
        <f>22.6566 * CHOOSE(CONTROL!$C$15, $D$11, 100%, $F$11)</f>
        <v>22.656600000000001</v>
      </c>
      <c r="K737" s="4"/>
      <c r="L737" s="9">
        <v>29.306000000000001</v>
      </c>
      <c r="M737" s="9">
        <v>12.063700000000001</v>
      </c>
      <c r="N737" s="9">
        <v>4.9444999999999997</v>
      </c>
      <c r="O737" s="9">
        <v>0.37409999999999999</v>
      </c>
      <c r="P737" s="9">
        <v>1.2927</v>
      </c>
      <c r="Q737" s="9">
        <v>19.688099999999999</v>
      </c>
      <c r="R737" s="9"/>
      <c r="S737" s="11"/>
    </row>
    <row r="738" spans="1:19" ht="15.75">
      <c r="A738" s="13">
        <v>63978</v>
      </c>
      <c r="B738" s="8">
        <f>22.0877 * CHOOSE(CONTROL!$C$15, $D$11, 100%, $F$11)</f>
        <v>22.087700000000002</v>
      </c>
      <c r="C738" s="8">
        <f>22.0985 * CHOOSE(CONTROL!$C$15, $D$11, 100%, $F$11)</f>
        <v>22.098500000000001</v>
      </c>
      <c r="D738" s="8">
        <f>22.0799 * CHOOSE( CONTROL!$C$15, $D$11, 100%, $F$11)</f>
        <v>22.079899999999999</v>
      </c>
      <c r="E738" s="12">
        <f>22.0856 * CHOOSE( CONTROL!$C$15, $D$11, 100%, $F$11)</f>
        <v>22.085599999999999</v>
      </c>
      <c r="F738" s="4">
        <f>22.7488 * CHOOSE(CONTROL!$C$15, $D$11, 100%, $F$11)</f>
        <v>22.748799999999999</v>
      </c>
      <c r="G738" s="8">
        <f>21.5873 * CHOOSE( CONTROL!$C$15, $D$11, 100%, $F$11)</f>
        <v>21.587299999999999</v>
      </c>
      <c r="H738" s="4">
        <f>22.4756 * CHOOSE(CONTROL!$C$15, $D$11, 100%, $F$11)</f>
        <v>22.4756</v>
      </c>
      <c r="I738" s="8">
        <f>21.3214 * CHOOSE(CONTROL!$C$15, $D$11, 100%, $F$11)</f>
        <v>21.321400000000001</v>
      </c>
      <c r="J738" s="4">
        <f>21.1919 * CHOOSE(CONTROL!$C$15, $D$11, 100%, $F$11)</f>
        <v>21.1919</v>
      </c>
      <c r="K738" s="4"/>
      <c r="L738" s="9">
        <v>26.469899999999999</v>
      </c>
      <c r="M738" s="9">
        <v>10.8962</v>
      </c>
      <c r="N738" s="9">
        <v>4.4660000000000002</v>
      </c>
      <c r="O738" s="9">
        <v>0.33789999999999998</v>
      </c>
      <c r="P738" s="9">
        <v>1.1676</v>
      </c>
      <c r="Q738" s="9">
        <v>17.782800000000002</v>
      </c>
      <c r="R738" s="9"/>
      <c r="S738" s="11"/>
    </row>
    <row r="739" spans="1:19" ht="15.75">
      <c r="A739" s="13">
        <v>64009</v>
      </c>
      <c r="B739" s="8">
        <f>21.6178 * CHOOSE(CONTROL!$C$15, $D$11, 100%, $F$11)</f>
        <v>21.617799999999999</v>
      </c>
      <c r="C739" s="8">
        <f>21.6286 * CHOOSE(CONTROL!$C$15, $D$11, 100%, $F$11)</f>
        <v>21.628599999999999</v>
      </c>
      <c r="D739" s="8">
        <f>21.6095 * CHOOSE( CONTROL!$C$15, $D$11, 100%, $F$11)</f>
        <v>21.609500000000001</v>
      </c>
      <c r="E739" s="12">
        <f>21.6153 * CHOOSE( CONTROL!$C$15, $D$11, 100%, $F$11)</f>
        <v>21.615300000000001</v>
      </c>
      <c r="F739" s="4">
        <f>22.2789 * CHOOSE(CONTROL!$C$15, $D$11, 100%, $F$11)</f>
        <v>22.2789</v>
      </c>
      <c r="G739" s="8">
        <f>21.1276 * CHOOSE( CONTROL!$C$15, $D$11, 100%, $F$11)</f>
        <v>21.127600000000001</v>
      </c>
      <c r="H739" s="4">
        <f>22.0162 * CHOOSE(CONTROL!$C$15, $D$11, 100%, $F$11)</f>
        <v>22.016200000000001</v>
      </c>
      <c r="I739" s="8">
        <f>20.8685 * CHOOSE(CONTROL!$C$15, $D$11, 100%, $F$11)</f>
        <v>20.868500000000001</v>
      </c>
      <c r="J739" s="4">
        <f>20.7408 * CHOOSE(CONTROL!$C$15, $D$11, 100%, $F$11)</f>
        <v>20.7408</v>
      </c>
      <c r="K739" s="4"/>
      <c r="L739" s="9">
        <v>29.306000000000001</v>
      </c>
      <c r="M739" s="9">
        <v>12.063700000000001</v>
      </c>
      <c r="N739" s="9">
        <v>4.9444999999999997</v>
      </c>
      <c r="O739" s="9">
        <v>0.37409999999999999</v>
      </c>
      <c r="P739" s="9">
        <v>1.2927</v>
      </c>
      <c r="Q739" s="9">
        <v>19.688099999999999</v>
      </c>
      <c r="R739" s="9"/>
      <c r="S739" s="11"/>
    </row>
    <row r="740" spans="1:19" ht="15.75">
      <c r="A740" s="13">
        <v>64039</v>
      </c>
      <c r="B740" s="8">
        <f>21.9461 * CHOOSE(CONTROL!$C$15, $D$11, 100%, $F$11)</f>
        <v>21.946100000000001</v>
      </c>
      <c r="C740" s="8">
        <f>21.9569 * CHOOSE(CONTROL!$C$15, $D$11, 100%, $F$11)</f>
        <v>21.956900000000001</v>
      </c>
      <c r="D740" s="8">
        <f>21.9917 * CHOOSE( CONTROL!$C$15, $D$11, 100%, $F$11)</f>
        <v>21.991700000000002</v>
      </c>
      <c r="E740" s="12">
        <f>21.979 * CHOOSE( CONTROL!$C$15, $D$11, 100%, $F$11)</f>
        <v>21.978999999999999</v>
      </c>
      <c r="F740" s="4">
        <f>22.675 * CHOOSE(CONTROL!$C$15, $D$11, 100%, $F$11)</f>
        <v>22.675000000000001</v>
      </c>
      <c r="G740" s="8">
        <f>21.4513 * CHOOSE( CONTROL!$C$15, $D$11, 100%, $F$11)</f>
        <v>21.4513</v>
      </c>
      <c r="H740" s="4">
        <f>22.4034 * CHOOSE(CONTROL!$C$15, $D$11, 100%, $F$11)</f>
        <v>22.403400000000001</v>
      </c>
      <c r="I740" s="8">
        <f>21.1792 * CHOOSE(CONTROL!$C$15, $D$11, 100%, $F$11)</f>
        <v>21.179200000000002</v>
      </c>
      <c r="J740" s="4">
        <f>21.056 * CHOOSE(CONTROL!$C$15, $D$11, 100%, $F$11)</f>
        <v>21.056000000000001</v>
      </c>
      <c r="K740" s="4"/>
      <c r="L740" s="9">
        <v>30.092199999999998</v>
      </c>
      <c r="M740" s="9">
        <v>11.6745</v>
      </c>
      <c r="N740" s="9">
        <v>4.7850000000000001</v>
      </c>
      <c r="O740" s="9">
        <v>0.36199999999999999</v>
      </c>
      <c r="P740" s="9">
        <v>1.1791</v>
      </c>
      <c r="Q740" s="9">
        <v>19.053000000000001</v>
      </c>
      <c r="R740" s="9"/>
      <c r="S740" s="11"/>
    </row>
    <row r="741" spans="1:19" ht="15.75">
      <c r="A741" s="13">
        <v>64070</v>
      </c>
      <c r="B741" s="8">
        <f>CHOOSE( CONTROL!$C$32, 22.5327, 22.5304) * CHOOSE(CONTROL!$C$15, $D$11, 100%, $F$11)</f>
        <v>22.532699999999998</v>
      </c>
      <c r="C741" s="8">
        <f>CHOOSE( CONTROL!$C$32, 22.5433, 22.541) * CHOOSE(CONTROL!$C$15, $D$11, 100%, $F$11)</f>
        <v>22.543299999999999</v>
      </c>
      <c r="D741" s="8">
        <f>CHOOSE( CONTROL!$C$32, 22.5771, 22.5748) * CHOOSE( CONTROL!$C$15, $D$11, 100%, $F$11)</f>
        <v>22.577100000000002</v>
      </c>
      <c r="E741" s="12">
        <f>CHOOSE( CONTROL!$C$32, 22.5632, 22.5609) * CHOOSE( CONTROL!$C$15, $D$11, 100%, $F$11)</f>
        <v>22.563199999999998</v>
      </c>
      <c r="F741" s="4">
        <f>CHOOSE( CONTROL!$C$32, 23.2616, 23.2593) * CHOOSE(CONTROL!$C$15, $D$11, 100%, $F$11)</f>
        <v>23.261600000000001</v>
      </c>
      <c r="G741" s="8">
        <f>CHOOSE( CONTROL!$C$32, 22.0254, 22.0232) * CHOOSE( CONTROL!$C$15, $D$11, 100%, $F$11)</f>
        <v>22.025400000000001</v>
      </c>
      <c r="H741" s="4">
        <f>CHOOSE( CONTROL!$C$32, 22.977, 22.9747) * CHOOSE(CONTROL!$C$15, $D$11, 100%, $F$11)</f>
        <v>22.977</v>
      </c>
      <c r="I741" s="8">
        <f>CHOOSE( CONTROL!$C$32, 21.7428, 21.7406) * CHOOSE(CONTROL!$C$15, $D$11, 100%, $F$11)</f>
        <v>21.742799999999999</v>
      </c>
      <c r="J741" s="4">
        <f>CHOOSE( CONTROL!$C$32, 21.6193, 21.6171) * CHOOSE(CONTROL!$C$15, $D$11, 100%, $F$11)</f>
        <v>21.619299999999999</v>
      </c>
      <c r="K741" s="4"/>
      <c r="L741" s="9">
        <v>30.7165</v>
      </c>
      <c r="M741" s="9">
        <v>12.063700000000001</v>
      </c>
      <c r="N741" s="9">
        <v>4.9444999999999997</v>
      </c>
      <c r="O741" s="9">
        <v>0.37409999999999999</v>
      </c>
      <c r="P741" s="9">
        <v>1.2183999999999999</v>
      </c>
      <c r="Q741" s="9">
        <v>19.688099999999999</v>
      </c>
      <c r="R741" s="9"/>
      <c r="S741" s="11"/>
    </row>
    <row r="742" spans="1:19" ht="15.75">
      <c r="A742" s="13">
        <v>64100</v>
      </c>
      <c r="B742" s="8">
        <f>CHOOSE( CONTROL!$C$32, 22.1707, 22.1684) * CHOOSE(CONTROL!$C$15, $D$11, 100%, $F$11)</f>
        <v>22.1707</v>
      </c>
      <c r="C742" s="8">
        <f>CHOOSE( CONTROL!$C$32, 22.1813, 22.179) * CHOOSE(CONTROL!$C$15, $D$11, 100%, $F$11)</f>
        <v>22.1813</v>
      </c>
      <c r="D742" s="8">
        <f>CHOOSE( CONTROL!$C$32, 22.2152, 22.2129) * CHOOSE( CONTROL!$C$15, $D$11, 100%, $F$11)</f>
        <v>22.215199999999999</v>
      </c>
      <c r="E742" s="12">
        <f>CHOOSE( CONTROL!$C$32, 22.2013, 22.199) * CHOOSE( CONTROL!$C$15, $D$11, 100%, $F$11)</f>
        <v>22.2013</v>
      </c>
      <c r="F742" s="4">
        <f>CHOOSE( CONTROL!$C$32, 22.8996, 22.8973) * CHOOSE(CONTROL!$C$15, $D$11, 100%, $F$11)</f>
        <v>22.8996</v>
      </c>
      <c r="G742" s="8">
        <f>CHOOSE( CONTROL!$C$32, 21.6717, 21.6695) * CHOOSE( CONTROL!$C$15, $D$11, 100%, $F$11)</f>
        <v>21.671700000000001</v>
      </c>
      <c r="H742" s="4">
        <f>CHOOSE( CONTROL!$C$32, 22.6231, 22.6208) * CHOOSE(CONTROL!$C$15, $D$11, 100%, $F$11)</f>
        <v>22.623100000000001</v>
      </c>
      <c r="I742" s="8">
        <f>CHOOSE( CONTROL!$C$32, 21.3958, 21.3936) * CHOOSE(CONTROL!$C$15, $D$11, 100%, $F$11)</f>
        <v>21.395800000000001</v>
      </c>
      <c r="J742" s="4">
        <f>CHOOSE( CONTROL!$C$32, 21.2717, 21.2695) * CHOOSE(CONTROL!$C$15, $D$11, 100%, $F$11)</f>
        <v>21.271699999999999</v>
      </c>
      <c r="K742" s="4"/>
      <c r="L742" s="9">
        <v>29.7257</v>
      </c>
      <c r="M742" s="9">
        <v>11.6745</v>
      </c>
      <c r="N742" s="9">
        <v>4.7850000000000001</v>
      </c>
      <c r="O742" s="9">
        <v>0.36199999999999999</v>
      </c>
      <c r="P742" s="9">
        <v>1.1791</v>
      </c>
      <c r="Q742" s="9">
        <v>19.053000000000001</v>
      </c>
      <c r="R742" s="9"/>
      <c r="S742" s="11"/>
    </row>
    <row r="743" spans="1:19" ht="15.75">
      <c r="A743" s="13">
        <v>64131</v>
      </c>
      <c r="B743" s="8">
        <f>CHOOSE( CONTROL!$C$32, 23.124, 23.1217) * CHOOSE(CONTROL!$C$15, $D$11, 100%, $F$11)</f>
        <v>23.123999999999999</v>
      </c>
      <c r="C743" s="8">
        <f>CHOOSE( CONTROL!$C$32, 23.1345, 23.1322) * CHOOSE(CONTROL!$C$15, $D$11, 100%, $F$11)</f>
        <v>23.134499999999999</v>
      </c>
      <c r="D743" s="8">
        <f>CHOOSE( CONTROL!$C$32, 23.1687, 23.1664) * CHOOSE( CONTROL!$C$15, $D$11, 100%, $F$11)</f>
        <v>23.168700000000001</v>
      </c>
      <c r="E743" s="12">
        <f>CHOOSE( CONTROL!$C$32, 23.1547, 23.1524) * CHOOSE( CONTROL!$C$15, $D$11, 100%, $F$11)</f>
        <v>23.154699999999998</v>
      </c>
      <c r="F743" s="4">
        <f>CHOOSE( CONTROL!$C$32, 23.8529, 23.8506) * CHOOSE(CONTROL!$C$15, $D$11, 100%, $F$11)</f>
        <v>23.852900000000002</v>
      </c>
      <c r="G743" s="8">
        <f>CHOOSE( CONTROL!$C$32, 22.6041, 22.6018) * CHOOSE( CONTROL!$C$15, $D$11, 100%, $F$11)</f>
        <v>22.604099999999999</v>
      </c>
      <c r="H743" s="4">
        <f>CHOOSE( CONTROL!$C$32, 23.5551, 23.5528) * CHOOSE(CONTROL!$C$15, $D$11, 100%, $F$11)</f>
        <v>23.555099999999999</v>
      </c>
      <c r="I743" s="8">
        <f>CHOOSE( CONTROL!$C$32, 22.3125, 22.3103) * CHOOSE(CONTROL!$C$15, $D$11, 100%, $F$11)</f>
        <v>22.3125</v>
      </c>
      <c r="J743" s="4">
        <f>CHOOSE( CONTROL!$C$32, 22.187, 22.1848) * CHOOSE(CONTROL!$C$15, $D$11, 100%, $F$11)</f>
        <v>22.187000000000001</v>
      </c>
      <c r="K743" s="4"/>
      <c r="L743" s="9">
        <v>30.7165</v>
      </c>
      <c r="M743" s="9">
        <v>12.063700000000001</v>
      </c>
      <c r="N743" s="9">
        <v>4.9444999999999997</v>
      </c>
      <c r="O743" s="9">
        <v>0.37409999999999999</v>
      </c>
      <c r="P743" s="9">
        <v>1.2183999999999999</v>
      </c>
      <c r="Q743" s="9">
        <v>19.688099999999999</v>
      </c>
      <c r="R743" s="9"/>
      <c r="S743" s="11"/>
    </row>
    <row r="744" spans="1:19" ht="15.75">
      <c r="A744" s="13">
        <v>64162</v>
      </c>
      <c r="B744" s="8">
        <f>CHOOSE( CONTROL!$C$32, 21.3403, 21.338) * CHOOSE(CONTROL!$C$15, $D$11, 100%, $F$11)</f>
        <v>21.340299999999999</v>
      </c>
      <c r="C744" s="8">
        <f>CHOOSE( CONTROL!$C$32, 21.3509, 21.3486) * CHOOSE(CONTROL!$C$15, $D$11, 100%, $F$11)</f>
        <v>21.350899999999999</v>
      </c>
      <c r="D744" s="8">
        <f>CHOOSE( CONTROL!$C$32, 21.3851, 21.3828) * CHOOSE( CONTROL!$C$15, $D$11, 100%, $F$11)</f>
        <v>21.385100000000001</v>
      </c>
      <c r="E744" s="12">
        <f>CHOOSE( CONTROL!$C$32, 21.3711, 21.3688) * CHOOSE( CONTROL!$C$15, $D$11, 100%, $F$11)</f>
        <v>21.371099999999998</v>
      </c>
      <c r="F744" s="4">
        <f>CHOOSE( CONTROL!$C$32, 22.0692, 22.0669) * CHOOSE(CONTROL!$C$15, $D$11, 100%, $F$11)</f>
        <v>22.069199999999999</v>
      </c>
      <c r="G744" s="8">
        <f>CHOOSE( CONTROL!$C$32, 20.8603, 20.858) * CHOOSE( CONTROL!$C$15, $D$11, 100%, $F$11)</f>
        <v>20.860299999999999</v>
      </c>
      <c r="H744" s="4">
        <f>CHOOSE( CONTROL!$C$32, 21.8112, 21.8089) * CHOOSE(CONTROL!$C$15, $D$11, 100%, $F$11)</f>
        <v>21.811199999999999</v>
      </c>
      <c r="I744" s="8">
        <f>CHOOSE( CONTROL!$C$32, 20.5994, 20.5972) * CHOOSE(CONTROL!$C$15, $D$11, 100%, $F$11)</f>
        <v>20.599399999999999</v>
      </c>
      <c r="J744" s="4">
        <f>CHOOSE( CONTROL!$C$32, 20.4745, 20.4723) * CHOOSE(CONTROL!$C$15, $D$11, 100%, $F$11)</f>
        <v>20.474499999999999</v>
      </c>
      <c r="K744" s="4"/>
      <c r="L744" s="9">
        <v>30.7165</v>
      </c>
      <c r="M744" s="9">
        <v>12.063700000000001</v>
      </c>
      <c r="N744" s="9">
        <v>4.9444999999999997</v>
      </c>
      <c r="O744" s="9">
        <v>0.37409999999999999</v>
      </c>
      <c r="P744" s="9">
        <v>1.2183999999999999</v>
      </c>
      <c r="Q744" s="9">
        <v>19.688099999999999</v>
      </c>
      <c r="R744" s="9"/>
      <c r="S744" s="11"/>
    </row>
    <row r="745" spans="1:19" ht="15.75">
      <c r="A745" s="13">
        <v>64192</v>
      </c>
      <c r="B745" s="8">
        <f>CHOOSE( CONTROL!$C$32, 20.8936, 20.8913) * CHOOSE(CONTROL!$C$15, $D$11, 100%, $F$11)</f>
        <v>20.893599999999999</v>
      </c>
      <c r="C745" s="8">
        <f>CHOOSE( CONTROL!$C$32, 20.9042, 20.9019) * CHOOSE(CONTROL!$C$15, $D$11, 100%, $F$11)</f>
        <v>20.904199999999999</v>
      </c>
      <c r="D745" s="8">
        <f>CHOOSE( CONTROL!$C$32, 20.9384, 20.9361) * CHOOSE( CONTROL!$C$15, $D$11, 100%, $F$11)</f>
        <v>20.938400000000001</v>
      </c>
      <c r="E745" s="12">
        <f>CHOOSE( CONTROL!$C$32, 20.9244, 20.9221) * CHOOSE( CONTROL!$C$15, $D$11, 100%, $F$11)</f>
        <v>20.924399999999999</v>
      </c>
      <c r="F745" s="4">
        <f>CHOOSE( CONTROL!$C$32, 21.6226, 21.6203) * CHOOSE(CONTROL!$C$15, $D$11, 100%, $F$11)</f>
        <v>21.622599999999998</v>
      </c>
      <c r="G745" s="8">
        <f>CHOOSE( CONTROL!$C$32, 20.4235, 20.4213) * CHOOSE( CONTROL!$C$15, $D$11, 100%, $F$11)</f>
        <v>20.423500000000001</v>
      </c>
      <c r="H745" s="4">
        <f>CHOOSE( CONTROL!$C$32, 21.3745, 21.3723) * CHOOSE(CONTROL!$C$15, $D$11, 100%, $F$11)</f>
        <v>21.374500000000001</v>
      </c>
      <c r="I745" s="8">
        <f>CHOOSE( CONTROL!$C$32, 20.1702, 20.168) * CHOOSE(CONTROL!$C$15, $D$11, 100%, $F$11)</f>
        <v>20.170200000000001</v>
      </c>
      <c r="J745" s="4">
        <f>CHOOSE( CONTROL!$C$32, 20.0456, 20.0434) * CHOOSE(CONTROL!$C$15, $D$11, 100%, $F$11)</f>
        <v>20.0456</v>
      </c>
      <c r="K745" s="4"/>
      <c r="L745" s="9">
        <v>29.7257</v>
      </c>
      <c r="M745" s="9">
        <v>11.6745</v>
      </c>
      <c r="N745" s="9">
        <v>4.7850000000000001</v>
      </c>
      <c r="O745" s="9">
        <v>0.36199999999999999</v>
      </c>
      <c r="P745" s="9">
        <v>1.1791</v>
      </c>
      <c r="Q745" s="9">
        <v>19.053000000000001</v>
      </c>
      <c r="R745" s="9"/>
      <c r="S745" s="11"/>
    </row>
    <row r="746" spans="1:19" ht="15.75">
      <c r="A746" s="13">
        <v>64223</v>
      </c>
      <c r="B746" s="8">
        <f>21.8188 * CHOOSE(CONTROL!$C$15, $D$11, 100%, $F$11)</f>
        <v>21.8188</v>
      </c>
      <c r="C746" s="8">
        <f>21.8296 * CHOOSE(CONTROL!$C$15, $D$11, 100%, $F$11)</f>
        <v>21.829599999999999</v>
      </c>
      <c r="D746" s="8">
        <f>21.865 * CHOOSE( CONTROL!$C$15, $D$11, 100%, $F$11)</f>
        <v>21.864999999999998</v>
      </c>
      <c r="E746" s="12">
        <f>21.8522 * CHOOSE( CONTROL!$C$15, $D$11, 100%, $F$11)</f>
        <v>21.8522</v>
      </c>
      <c r="F746" s="4">
        <f>22.5477 * CHOOSE(CONTROL!$C$15, $D$11, 100%, $F$11)</f>
        <v>22.547699999999999</v>
      </c>
      <c r="G746" s="8">
        <f>21.3278 * CHOOSE( CONTROL!$C$15, $D$11, 100%, $F$11)</f>
        <v>21.3278</v>
      </c>
      <c r="H746" s="4">
        <f>22.279 * CHOOSE(CONTROL!$C$15, $D$11, 100%, $F$11)</f>
        <v>22.279</v>
      </c>
      <c r="I746" s="8">
        <f>21.0598 * CHOOSE(CONTROL!$C$15, $D$11, 100%, $F$11)</f>
        <v>21.059799999999999</v>
      </c>
      <c r="J746" s="4">
        <f>20.9338 * CHOOSE(CONTROL!$C$15, $D$11, 100%, $F$11)</f>
        <v>20.933800000000002</v>
      </c>
      <c r="K746" s="4"/>
      <c r="L746" s="9">
        <v>31.095300000000002</v>
      </c>
      <c r="M746" s="9">
        <v>12.063700000000001</v>
      </c>
      <c r="N746" s="9">
        <v>4.9444999999999997</v>
      </c>
      <c r="O746" s="9">
        <v>0.37409999999999999</v>
      </c>
      <c r="P746" s="9">
        <v>1.2183999999999999</v>
      </c>
      <c r="Q746" s="9">
        <v>19.688099999999999</v>
      </c>
      <c r="R746" s="9"/>
      <c r="S746" s="11"/>
    </row>
    <row r="747" spans="1:19" ht="15.75">
      <c r="A747" s="13">
        <v>64253</v>
      </c>
      <c r="B747" s="8">
        <f>23.5307 * CHOOSE(CONTROL!$C$15, $D$11, 100%, $F$11)</f>
        <v>23.5307</v>
      </c>
      <c r="C747" s="8">
        <f>23.5414 * CHOOSE(CONTROL!$C$15, $D$11, 100%, $F$11)</f>
        <v>23.541399999999999</v>
      </c>
      <c r="D747" s="8">
        <f>23.5175 * CHOOSE( CONTROL!$C$15, $D$11, 100%, $F$11)</f>
        <v>23.517499999999998</v>
      </c>
      <c r="E747" s="12">
        <f>23.5251 * CHOOSE( CONTROL!$C$15, $D$11, 100%, $F$11)</f>
        <v>23.525099999999998</v>
      </c>
      <c r="F747" s="4">
        <f>24.1918 * CHOOSE(CONTROL!$C$15, $D$11, 100%, $F$11)</f>
        <v>24.191800000000001</v>
      </c>
      <c r="G747" s="8">
        <f>23.0014 * CHOOSE( CONTROL!$C$15, $D$11, 100%, $F$11)</f>
        <v>23.0014</v>
      </c>
      <c r="H747" s="4">
        <f>23.8864 * CHOOSE(CONTROL!$C$15, $D$11, 100%, $F$11)</f>
        <v>23.886399999999998</v>
      </c>
      <c r="I747" s="8">
        <f>22.7474 * CHOOSE(CONTROL!$C$15, $D$11, 100%, $F$11)</f>
        <v>22.747399999999999</v>
      </c>
      <c r="J747" s="4">
        <f>22.5773 * CHOOSE(CONTROL!$C$15, $D$11, 100%, $F$11)</f>
        <v>22.577300000000001</v>
      </c>
      <c r="K747" s="4"/>
      <c r="L747" s="9">
        <v>28.360600000000002</v>
      </c>
      <c r="M747" s="9">
        <v>11.6745</v>
      </c>
      <c r="N747" s="9">
        <v>4.7850000000000001</v>
      </c>
      <c r="O747" s="9">
        <v>0.36199999999999999</v>
      </c>
      <c r="P747" s="9">
        <v>1.2509999999999999</v>
      </c>
      <c r="Q747" s="9">
        <v>19.053000000000001</v>
      </c>
      <c r="R747" s="9"/>
      <c r="S747" s="11"/>
    </row>
    <row r="748" spans="1:19" ht="15.75">
      <c r="A748" s="13">
        <v>64284</v>
      </c>
      <c r="B748" s="8">
        <f>23.4879 * CHOOSE(CONTROL!$C$15, $D$11, 100%, $F$11)</f>
        <v>23.4879</v>
      </c>
      <c r="C748" s="8">
        <f>23.4987 * CHOOSE(CONTROL!$C$15, $D$11, 100%, $F$11)</f>
        <v>23.498699999999999</v>
      </c>
      <c r="D748" s="8">
        <f>23.4764 * CHOOSE( CONTROL!$C$15, $D$11, 100%, $F$11)</f>
        <v>23.476400000000002</v>
      </c>
      <c r="E748" s="12">
        <f>23.4834 * CHOOSE( CONTROL!$C$15, $D$11, 100%, $F$11)</f>
        <v>23.4834</v>
      </c>
      <c r="F748" s="4">
        <f>24.149 * CHOOSE(CONTROL!$C$15, $D$11, 100%, $F$11)</f>
        <v>24.149000000000001</v>
      </c>
      <c r="G748" s="8">
        <f>22.9608 * CHOOSE( CONTROL!$C$15, $D$11, 100%, $F$11)</f>
        <v>22.960799999999999</v>
      </c>
      <c r="H748" s="4">
        <f>23.8446 * CHOOSE(CONTROL!$C$15, $D$11, 100%, $F$11)</f>
        <v>23.8446</v>
      </c>
      <c r="I748" s="8">
        <f>22.7115 * CHOOSE(CONTROL!$C$15, $D$11, 100%, $F$11)</f>
        <v>22.711500000000001</v>
      </c>
      <c r="J748" s="4">
        <f>22.5363 * CHOOSE(CONTROL!$C$15, $D$11, 100%, $F$11)</f>
        <v>22.536300000000001</v>
      </c>
      <c r="K748" s="4"/>
      <c r="L748" s="9">
        <v>29.306000000000001</v>
      </c>
      <c r="M748" s="9">
        <v>12.063700000000001</v>
      </c>
      <c r="N748" s="9">
        <v>4.9444999999999997</v>
      </c>
      <c r="O748" s="9">
        <v>0.37409999999999999</v>
      </c>
      <c r="P748" s="9">
        <v>1.2927</v>
      </c>
      <c r="Q748" s="9">
        <v>19.688099999999999</v>
      </c>
      <c r="R748" s="9"/>
      <c r="S748" s="11"/>
    </row>
    <row r="749" spans="1:19" ht="15.75">
      <c r="A749" s="13">
        <v>64315</v>
      </c>
      <c r="B749" s="8">
        <f>24.1803 * CHOOSE(CONTROL!$C$15, $D$11, 100%, $F$11)</f>
        <v>24.180299999999999</v>
      </c>
      <c r="C749" s="8">
        <f>24.191 * CHOOSE(CONTROL!$C$15, $D$11, 100%, $F$11)</f>
        <v>24.190999999999999</v>
      </c>
      <c r="D749" s="8">
        <f>24.1726 * CHOOSE( CONTROL!$C$15, $D$11, 100%, $F$11)</f>
        <v>24.172599999999999</v>
      </c>
      <c r="E749" s="12">
        <f>24.1782 * CHOOSE( CONTROL!$C$15, $D$11, 100%, $F$11)</f>
        <v>24.1782</v>
      </c>
      <c r="F749" s="4">
        <f>24.8414 * CHOOSE(CONTROL!$C$15, $D$11, 100%, $F$11)</f>
        <v>24.8414</v>
      </c>
      <c r="G749" s="8">
        <f>23.6334 * CHOOSE( CONTROL!$C$15, $D$11, 100%, $F$11)</f>
        <v>23.633400000000002</v>
      </c>
      <c r="H749" s="4">
        <f>24.5215 * CHOOSE(CONTROL!$C$15, $D$11, 100%, $F$11)</f>
        <v>24.5215</v>
      </c>
      <c r="I749" s="8">
        <f>23.332 * CHOOSE(CONTROL!$C$15, $D$11, 100%, $F$11)</f>
        <v>23.332000000000001</v>
      </c>
      <c r="J749" s="4">
        <f>23.201 * CHOOSE(CONTROL!$C$15, $D$11, 100%, $F$11)</f>
        <v>23.201000000000001</v>
      </c>
      <c r="K749" s="4"/>
      <c r="L749" s="9">
        <v>29.306000000000001</v>
      </c>
      <c r="M749" s="9">
        <v>12.063700000000001</v>
      </c>
      <c r="N749" s="9">
        <v>4.9444999999999997</v>
      </c>
      <c r="O749" s="9">
        <v>0.37409999999999999</v>
      </c>
      <c r="P749" s="9">
        <v>1.2927</v>
      </c>
      <c r="Q749" s="9">
        <v>19.688099999999999</v>
      </c>
      <c r="R749" s="9"/>
      <c r="S749" s="11"/>
    </row>
    <row r="750" spans="1:19" ht="15.75">
      <c r="A750" s="13">
        <v>64344</v>
      </c>
      <c r="B750" s="8">
        <f>22.618 * CHOOSE(CONTROL!$C$15, $D$11, 100%, $F$11)</f>
        <v>22.617999999999999</v>
      </c>
      <c r="C750" s="8">
        <f>22.6288 * CHOOSE(CONTROL!$C$15, $D$11, 100%, $F$11)</f>
        <v>22.628799999999998</v>
      </c>
      <c r="D750" s="8">
        <f>22.6102 * CHOOSE( CONTROL!$C$15, $D$11, 100%, $F$11)</f>
        <v>22.610199999999999</v>
      </c>
      <c r="E750" s="12">
        <f>22.6159 * CHOOSE( CONTROL!$C$15, $D$11, 100%, $F$11)</f>
        <v>22.6159</v>
      </c>
      <c r="F750" s="4">
        <f>23.2791 * CHOOSE(CONTROL!$C$15, $D$11, 100%, $F$11)</f>
        <v>23.2791</v>
      </c>
      <c r="G750" s="8">
        <f>22.1058 * CHOOSE( CONTROL!$C$15, $D$11, 100%, $F$11)</f>
        <v>22.105799999999999</v>
      </c>
      <c r="H750" s="4">
        <f>22.9941 * CHOOSE(CONTROL!$C$15, $D$11, 100%, $F$11)</f>
        <v>22.9941</v>
      </c>
      <c r="I750" s="8">
        <f>21.8308 * CHOOSE(CONTROL!$C$15, $D$11, 100%, $F$11)</f>
        <v>21.8308</v>
      </c>
      <c r="J750" s="4">
        <f>21.7011 * CHOOSE(CONTROL!$C$15, $D$11, 100%, $F$11)</f>
        <v>21.7011</v>
      </c>
      <c r="K750" s="4"/>
      <c r="L750" s="9">
        <v>27.415299999999998</v>
      </c>
      <c r="M750" s="9">
        <v>11.285299999999999</v>
      </c>
      <c r="N750" s="9">
        <v>4.6254999999999997</v>
      </c>
      <c r="O750" s="9">
        <v>0.34989999999999999</v>
      </c>
      <c r="P750" s="9">
        <v>1.2093</v>
      </c>
      <c r="Q750" s="9">
        <v>18.417899999999999</v>
      </c>
      <c r="R750" s="9"/>
      <c r="S750" s="11"/>
    </row>
    <row r="751" spans="1:19" ht="15.75">
      <c r="A751" s="13">
        <v>64375</v>
      </c>
      <c r="B751" s="8">
        <f>22.1369 * CHOOSE(CONTROL!$C$15, $D$11, 100%, $F$11)</f>
        <v>22.136900000000001</v>
      </c>
      <c r="C751" s="8">
        <f>22.1476 * CHOOSE(CONTROL!$C$15, $D$11, 100%, $F$11)</f>
        <v>22.147600000000001</v>
      </c>
      <c r="D751" s="8">
        <f>22.1286 * CHOOSE( CONTROL!$C$15, $D$11, 100%, $F$11)</f>
        <v>22.128599999999999</v>
      </c>
      <c r="E751" s="12">
        <f>22.1344 * CHOOSE( CONTROL!$C$15, $D$11, 100%, $F$11)</f>
        <v>22.134399999999999</v>
      </c>
      <c r="F751" s="4">
        <f>22.798 * CHOOSE(CONTROL!$C$15, $D$11, 100%, $F$11)</f>
        <v>22.797999999999998</v>
      </c>
      <c r="G751" s="8">
        <f>21.635 * CHOOSE( CONTROL!$C$15, $D$11, 100%, $F$11)</f>
        <v>21.635000000000002</v>
      </c>
      <c r="H751" s="4">
        <f>22.5237 * CHOOSE(CONTROL!$C$15, $D$11, 100%, $F$11)</f>
        <v>22.523700000000002</v>
      </c>
      <c r="I751" s="8">
        <f>21.3671 * CHOOSE(CONTROL!$C$15, $D$11, 100%, $F$11)</f>
        <v>21.367100000000001</v>
      </c>
      <c r="J751" s="4">
        <f>21.2391 * CHOOSE(CONTROL!$C$15, $D$11, 100%, $F$11)</f>
        <v>21.239100000000001</v>
      </c>
      <c r="K751" s="4"/>
      <c r="L751" s="9">
        <v>29.306000000000001</v>
      </c>
      <c r="M751" s="9">
        <v>12.063700000000001</v>
      </c>
      <c r="N751" s="9">
        <v>4.9444999999999997</v>
      </c>
      <c r="O751" s="9">
        <v>0.37409999999999999</v>
      </c>
      <c r="P751" s="9">
        <v>1.2927</v>
      </c>
      <c r="Q751" s="9">
        <v>19.688099999999999</v>
      </c>
      <c r="R751" s="9"/>
      <c r="S751" s="11"/>
    </row>
    <row r="752" spans="1:19" ht="15.75">
      <c r="A752" s="13">
        <v>64405</v>
      </c>
      <c r="B752" s="8">
        <f>22.4731 * CHOOSE(CONTROL!$C$15, $D$11, 100%, $F$11)</f>
        <v>22.473099999999999</v>
      </c>
      <c r="C752" s="8">
        <f>22.4839 * CHOOSE(CONTROL!$C$15, $D$11, 100%, $F$11)</f>
        <v>22.483899999999998</v>
      </c>
      <c r="D752" s="8">
        <f>22.5186 * CHOOSE( CONTROL!$C$15, $D$11, 100%, $F$11)</f>
        <v>22.518599999999999</v>
      </c>
      <c r="E752" s="12">
        <f>22.5059 * CHOOSE( CONTROL!$C$15, $D$11, 100%, $F$11)</f>
        <v>22.5059</v>
      </c>
      <c r="F752" s="4">
        <f>23.2019 * CHOOSE(CONTROL!$C$15, $D$11, 100%, $F$11)</f>
        <v>23.201899999999998</v>
      </c>
      <c r="G752" s="8">
        <f>21.9665 * CHOOSE( CONTROL!$C$15, $D$11, 100%, $F$11)</f>
        <v>21.9665</v>
      </c>
      <c r="H752" s="4">
        <f>22.9186 * CHOOSE(CONTROL!$C$15, $D$11, 100%, $F$11)</f>
        <v>22.918600000000001</v>
      </c>
      <c r="I752" s="8">
        <f>21.6854 * CHOOSE(CONTROL!$C$15, $D$11, 100%, $F$11)</f>
        <v>21.685400000000001</v>
      </c>
      <c r="J752" s="4">
        <f>21.562 * CHOOSE(CONTROL!$C$15, $D$11, 100%, $F$11)</f>
        <v>21.562000000000001</v>
      </c>
      <c r="K752" s="4"/>
      <c r="L752" s="9">
        <v>30.092199999999998</v>
      </c>
      <c r="M752" s="9">
        <v>11.6745</v>
      </c>
      <c r="N752" s="9">
        <v>4.7850000000000001</v>
      </c>
      <c r="O752" s="9">
        <v>0.36199999999999999</v>
      </c>
      <c r="P752" s="9">
        <v>1.1791</v>
      </c>
      <c r="Q752" s="9">
        <v>19.053000000000001</v>
      </c>
      <c r="R752" s="9"/>
      <c r="S752" s="11"/>
    </row>
    <row r="753" spans="1:19" ht="15.75">
      <c r="A753" s="13">
        <v>64436</v>
      </c>
      <c r="B753" s="8">
        <f>CHOOSE( CONTROL!$C$32, 23.0737, 23.0714) * CHOOSE(CONTROL!$C$15, $D$11, 100%, $F$11)</f>
        <v>23.073699999999999</v>
      </c>
      <c r="C753" s="8">
        <f>CHOOSE( CONTROL!$C$32, 23.0842, 23.0819) * CHOOSE(CONTROL!$C$15, $D$11, 100%, $F$11)</f>
        <v>23.084199999999999</v>
      </c>
      <c r="D753" s="8">
        <f>CHOOSE( CONTROL!$C$32, 23.1181, 23.1158) * CHOOSE( CONTROL!$C$15, $D$11, 100%, $F$11)</f>
        <v>23.118099999999998</v>
      </c>
      <c r="E753" s="12">
        <f>CHOOSE( CONTROL!$C$32, 23.1042, 23.1019) * CHOOSE( CONTROL!$C$15, $D$11, 100%, $F$11)</f>
        <v>23.104199999999999</v>
      </c>
      <c r="F753" s="4">
        <f>CHOOSE( CONTROL!$C$32, 23.8026, 23.8003) * CHOOSE(CONTROL!$C$15, $D$11, 100%, $F$11)</f>
        <v>23.802600000000002</v>
      </c>
      <c r="G753" s="8">
        <f>CHOOSE( CONTROL!$C$32, 22.5543, 22.5521) * CHOOSE( CONTROL!$C$15, $D$11, 100%, $F$11)</f>
        <v>22.554300000000001</v>
      </c>
      <c r="H753" s="4">
        <f>CHOOSE( CONTROL!$C$32, 23.5059, 23.5037) * CHOOSE(CONTROL!$C$15, $D$11, 100%, $F$11)</f>
        <v>23.5059</v>
      </c>
      <c r="I753" s="8">
        <f>CHOOSE( CONTROL!$C$32, 22.2625, 22.2603) * CHOOSE(CONTROL!$C$15, $D$11, 100%, $F$11)</f>
        <v>22.262499999999999</v>
      </c>
      <c r="J753" s="4">
        <f>CHOOSE( CONTROL!$C$32, 22.1387, 22.1365) * CHOOSE(CONTROL!$C$15, $D$11, 100%, $F$11)</f>
        <v>22.1387</v>
      </c>
      <c r="K753" s="4"/>
      <c r="L753" s="9">
        <v>30.7165</v>
      </c>
      <c r="M753" s="9">
        <v>12.063700000000001</v>
      </c>
      <c r="N753" s="9">
        <v>4.9444999999999997</v>
      </c>
      <c r="O753" s="9">
        <v>0.37409999999999999</v>
      </c>
      <c r="P753" s="9">
        <v>1.2183999999999999</v>
      </c>
      <c r="Q753" s="9">
        <v>19.688099999999999</v>
      </c>
      <c r="R753" s="9"/>
      <c r="S753" s="11"/>
    </row>
    <row r="754" spans="1:19" ht="15.75">
      <c r="A754" s="13">
        <v>64466</v>
      </c>
      <c r="B754" s="8">
        <f>CHOOSE( CONTROL!$C$32, 22.703, 22.7007) * CHOOSE(CONTROL!$C$15, $D$11, 100%, $F$11)</f>
        <v>22.702999999999999</v>
      </c>
      <c r="C754" s="8">
        <f>CHOOSE( CONTROL!$C$32, 22.7135, 22.7112) * CHOOSE(CONTROL!$C$15, $D$11, 100%, $F$11)</f>
        <v>22.7135</v>
      </c>
      <c r="D754" s="8">
        <f>CHOOSE( CONTROL!$C$32, 22.7475, 22.7452) * CHOOSE( CONTROL!$C$15, $D$11, 100%, $F$11)</f>
        <v>22.747499999999999</v>
      </c>
      <c r="E754" s="12">
        <f>CHOOSE( CONTROL!$C$32, 22.7336, 22.7313) * CHOOSE( CONTROL!$C$15, $D$11, 100%, $F$11)</f>
        <v>22.733599999999999</v>
      </c>
      <c r="F754" s="4">
        <f>CHOOSE( CONTROL!$C$32, 23.4319, 23.4296) * CHOOSE(CONTROL!$C$15, $D$11, 100%, $F$11)</f>
        <v>23.431899999999999</v>
      </c>
      <c r="G754" s="8">
        <f>CHOOSE( CONTROL!$C$32, 22.1922, 22.1899) * CHOOSE( CONTROL!$C$15, $D$11, 100%, $F$11)</f>
        <v>22.1922</v>
      </c>
      <c r="H754" s="4">
        <f>CHOOSE( CONTROL!$C$32, 23.1435, 23.1412) * CHOOSE(CONTROL!$C$15, $D$11, 100%, $F$11)</f>
        <v>23.1435</v>
      </c>
      <c r="I754" s="8">
        <f>CHOOSE( CONTROL!$C$32, 21.9071, 21.9049) * CHOOSE(CONTROL!$C$15, $D$11, 100%, $F$11)</f>
        <v>21.9071</v>
      </c>
      <c r="J754" s="4">
        <f>CHOOSE( CONTROL!$C$32, 21.7828, 21.7806) * CHOOSE(CONTROL!$C$15, $D$11, 100%, $F$11)</f>
        <v>21.782800000000002</v>
      </c>
      <c r="K754" s="4"/>
      <c r="L754" s="9">
        <v>29.7257</v>
      </c>
      <c r="M754" s="9">
        <v>11.6745</v>
      </c>
      <c r="N754" s="9">
        <v>4.7850000000000001</v>
      </c>
      <c r="O754" s="9">
        <v>0.36199999999999999</v>
      </c>
      <c r="P754" s="9">
        <v>1.1791</v>
      </c>
      <c r="Q754" s="9">
        <v>19.053000000000001</v>
      </c>
      <c r="R754" s="9"/>
      <c r="S754" s="11"/>
    </row>
    <row r="755" spans="1:19" ht="15.75">
      <c r="A755" s="13">
        <v>64497</v>
      </c>
      <c r="B755" s="8">
        <f>CHOOSE( CONTROL!$C$32, 23.6792, 23.6769) * CHOOSE(CONTROL!$C$15, $D$11, 100%, $F$11)</f>
        <v>23.679200000000002</v>
      </c>
      <c r="C755" s="8">
        <f>CHOOSE( CONTROL!$C$32, 23.6897, 23.6874) * CHOOSE(CONTROL!$C$15, $D$11, 100%, $F$11)</f>
        <v>23.689699999999998</v>
      </c>
      <c r="D755" s="8">
        <f>CHOOSE( CONTROL!$C$32, 23.7239, 23.7216) * CHOOSE( CONTROL!$C$15, $D$11, 100%, $F$11)</f>
        <v>23.7239</v>
      </c>
      <c r="E755" s="12">
        <f>CHOOSE( CONTROL!$C$32, 23.7099, 23.7076) * CHOOSE( CONTROL!$C$15, $D$11, 100%, $F$11)</f>
        <v>23.709900000000001</v>
      </c>
      <c r="F755" s="4">
        <f>CHOOSE( CONTROL!$C$32, 24.4081, 24.4058) * CHOOSE(CONTROL!$C$15, $D$11, 100%, $F$11)</f>
        <v>24.408100000000001</v>
      </c>
      <c r="G755" s="8">
        <f>CHOOSE( CONTROL!$C$32, 23.1469, 23.1446) * CHOOSE( CONTROL!$C$15, $D$11, 100%, $F$11)</f>
        <v>23.146899999999999</v>
      </c>
      <c r="H755" s="4">
        <f>CHOOSE( CONTROL!$C$32, 24.0979, 24.0956) * CHOOSE(CONTROL!$C$15, $D$11, 100%, $F$11)</f>
        <v>24.097899999999999</v>
      </c>
      <c r="I755" s="8">
        <f>CHOOSE( CONTROL!$C$32, 22.8458, 22.8436) * CHOOSE(CONTROL!$C$15, $D$11, 100%, $F$11)</f>
        <v>22.845800000000001</v>
      </c>
      <c r="J755" s="4">
        <f>CHOOSE( CONTROL!$C$32, 22.72, 22.7178) * CHOOSE(CONTROL!$C$15, $D$11, 100%, $F$11)</f>
        <v>22.72</v>
      </c>
      <c r="K755" s="4"/>
      <c r="L755" s="9">
        <v>30.7165</v>
      </c>
      <c r="M755" s="9">
        <v>12.063700000000001</v>
      </c>
      <c r="N755" s="9">
        <v>4.9444999999999997</v>
      </c>
      <c r="O755" s="9">
        <v>0.37409999999999999</v>
      </c>
      <c r="P755" s="9">
        <v>1.2183999999999999</v>
      </c>
      <c r="Q755" s="9">
        <v>19.688099999999999</v>
      </c>
      <c r="R755" s="9"/>
      <c r="S755" s="11"/>
    </row>
    <row r="756" spans="1:19" ht="15.75">
      <c r="A756" s="13">
        <v>64528</v>
      </c>
      <c r="B756" s="8">
        <f>CHOOSE( CONTROL!$C$32, 21.8526, 21.8503) * CHOOSE(CONTROL!$C$15, $D$11, 100%, $F$11)</f>
        <v>21.852599999999999</v>
      </c>
      <c r="C756" s="8">
        <f>CHOOSE( CONTROL!$C$32, 21.8632, 21.8609) * CHOOSE(CONTROL!$C$15, $D$11, 100%, $F$11)</f>
        <v>21.863199999999999</v>
      </c>
      <c r="D756" s="8">
        <f>CHOOSE( CONTROL!$C$32, 21.8975, 21.8952) * CHOOSE( CONTROL!$C$15, $D$11, 100%, $F$11)</f>
        <v>21.897500000000001</v>
      </c>
      <c r="E756" s="12">
        <f>CHOOSE( CONTROL!$C$32, 21.8835, 21.8812) * CHOOSE( CONTROL!$C$15, $D$11, 100%, $F$11)</f>
        <v>21.883500000000002</v>
      </c>
      <c r="F756" s="4">
        <f>CHOOSE( CONTROL!$C$32, 22.5816, 22.5793) * CHOOSE(CONTROL!$C$15, $D$11, 100%, $F$11)</f>
        <v>22.581600000000002</v>
      </c>
      <c r="G756" s="8">
        <f>CHOOSE( CONTROL!$C$32, 21.3612, 21.3589) * CHOOSE( CONTROL!$C$15, $D$11, 100%, $F$11)</f>
        <v>21.3612</v>
      </c>
      <c r="H756" s="4">
        <f>CHOOSE( CONTROL!$C$32, 22.3121, 22.3099) * CHOOSE(CONTROL!$C$15, $D$11, 100%, $F$11)</f>
        <v>22.312100000000001</v>
      </c>
      <c r="I756" s="8">
        <f>CHOOSE( CONTROL!$C$32, 21.0916, 21.0894) * CHOOSE(CONTROL!$C$15, $D$11, 100%, $F$11)</f>
        <v>21.0916</v>
      </c>
      <c r="J756" s="4">
        <f>CHOOSE( CONTROL!$C$32, 20.9664, 20.9642) * CHOOSE(CONTROL!$C$15, $D$11, 100%, $F$11)</f>
        <v>20.9664</v>
      </c>
      <c r="K756" s="4"/>
      <c r="L756" s="9">
        <v>30.7165</v>
      </c>
      <c r="M756" s="9">
        <v>12.063700000000001</v>
      </c>
      <c r="N756" s="9">
        <v>4.9444999999999997</v>
      </c>
      <c r="O756" s="9">
        <v>0.37409999999999999</v>
      </c>
      <c r="P756" s="9">
        <v>1.2183999999999999</v>
      </c>
      <c r="Q756" s="9">
        <v>19.688099999999999</v>
      </c>
      <c r="R756" s="9"/>
      <c r="S756" s="11"/>
    </row>
    <row r="757" spans="1:19" ht="15.75">
      <c r="A757" s="13">
        <v>64558</v>
      </c>
      <c r="B757" s="8">
        <f>CHOOSE( CONTROL!$C$32, 21.3952, 21.3929) * CHOOSE(CONTROL!$C$15, $D$11, 100%, $F$11)</f>
        <v>21.395199999999999</v>
      </c>
      <c r="C757" s="8">
        <f>CHOOSE( CONTROL!$C$32, 21.4058, 21.4035) * CHOOSE(CONTROL!$C$15, $D$11, 100%, $F$11)</f>
        <v>21.405799999999999</v>
      </c>
      <c r="D757" s="8">
        <f>CHOOSE( CONTROL!$C$32, 21.44, 21.4377) * CHOOSE( CONTROL!$C$15, $D$11, 100%, $F$11)</f>
        <v>21.44</v>
      </c>
      <c r="E757" s="12">
        <f>CHOOSE( CONTROL!$C$32, 21.426, 21.4237) * CHOOSE( CONTROL!$C$15, $D$11, 100%, $F$11)</f>
        <v>21.425999999999998</v>
      </c>
      <c r="F757" s="4">
        <f>CHOOSE( CONTROL!$C$32, 22.1242, 22.1219) * CHOOSE(CONTROL!$C$15, $D$11, 100%, $F$11)</f>
        <v>22.124199999999998</v>
      </c>
      <c r="G757" s="8">
        <f>CHOOSE( CONTROL!$C$32, 20.9139, 20.9117) * CHOOSE( CONTROL!$C$15, $D$11, 100%, $F$11)</f>
        <v>20.913900000000002</v>
      </c>
      <c r="H757" s="4">
        <f>CHOOSE( CONTROL!$C$32, 21.8649, 21.8627) * CHOOSE(CONTROL!$C$15, $D$11, 100%, $F$11)</f>
        <v>21.864899999999999</v>
      </c>
      <c r="I757" s="8">
        <f>CHOOSE( CONTROL!$C$32, 20.6521, 20.6499) * CHOOSE(CONTROL!$C$15, $D$11, 100%, $F$11)</f>
        <v>20.652100000000001</v>
      </c>
      <c r="J757" s="4">
        <f>CHOOSE( CONTROL!$C$32, 20.5272, 20.525) * CHOOSE(CONTROL!$C$15, $D$11, 100%, $F$11)</f>
        <v>20.527200000000001</v>
      </c>
      <c r="K757" s="4"/>
      <c r="L757" s="9">
        <v>29.7257</v>
      </c>
      <c r="M757" s="9">
        <v>11.6745</v>
      </c>
      <c r="N757" s="9">
        <v>4.7850000000000001</v>
      </c>
      <c r="O757" s="9">
        <v>0.36199999999999999</v>
      </c>
      <c r="P757" s="9">
        <v>1.1791</v>
      </c>
      <c r="Q757" s="9">
        <v>19.053000000000001</v>
      </c>
      <c r="R757" s="9"/>
      <c r="S757" s="11"/>
    </row>
    <row r="758" spans="1:19" ht="15.75">
      <c r="A758" s="13">
        <v>64589</v>
      </c>
      <c r="B758" s="8">
        <f>22.3427 * CHOOSE(CONTROL!$C$15, $D$11, 100%, $F$11)</f>
        <v>22.342700000000001</v>
      </c>
      <c r="C758" s="8">
        <f>22.3535 * CHOOSE(CONTROL!$C$15, $D$11, 100%, $F$11)</f>
        <v>22.3535</v>
      </c>
      <c r="D758" s="8">
        <f>22.3889 * CHOOSE( CONTROL!$C$15, $D$11, 100%, $F$11)</f>
        <v>22.3889</v>
      </c>
      <c r="E758" s="12">
        <f>22.3761 * CHOOSE( CONTROL!$C$15, $D$11, 100%, $F$11)</f>
        <v>22.376100000000001</v>
      </c>
      <c r="F758" s="4">
        <f>23.0716 * CHOOSE(CONTROL!$C$15, $D$11, 100%, $F$11)</f>
        <v>23.0716</v>
      </c>
      <c r="G758" s="8">
        <f>21.84 * CHOOSE( CONTROL!$C$15, $D$11, 100%, $F$11)</f>
        <v>21.84</v>
      </c>
      <c r="H758" s="4">
        <f>22.7912 * CHOOSE(CONTROL!$C$15, $D$11, 100%, $F$11)</f>
        <v>22.7912</v>
      </c>
      <c r="I758" s="8">
        <f>21.563 * CHOOSE(CONTROL!$C$15, $D$11, 100%, $F$11)</f>
        <v>21.562999999999999</v>
      </c>
      <c r="J758" s="4">
        <f>21.4368 * CHOOSE(CONTROL!$C$15, $D$11, 100%, $F$11)</f>
        <v>21.436800000000002</v>
      </c>
      <c r="K758" s="4"/>
      <c r="L758" s="9">
        <v>31.095300000000002</v>
      </c>
      <c r="M758" s="9">
        <v>12.063700000000001</v>
      </c>
      <c r="N758" s="9">
        <v>4.9444999999999997</v>
      </c>
      <c r="O758" s="9">
        <v>0.37409999999999999</v>
      </c>
      <c r="P758" s="9">
        <v>1.2183999999999999</v>
      </c>
      <c r="Q758" s="9">
        <v>19.688099999999999</v>
      </c>
      <c r="R758" s="9"/>
      <c r="S758" s="11"/>
    </row>
    <row r="759" spans="1:19" ht="15.75">
      <c r="A759" s="13">
        <v>64619</v>
      </c>
      <c r="B759" s="8">
        <f>24.0957 * CHOOSE(CONTROL!$C$15, $D$11, 100%, $F$11)</f>
        <v>24.095700000000001</v>
      </c>
      <c r="C759" s="8">
        <f>24.1065 * CHOOSE(CONTROL!$C$15, $D$11, 100%, $F$11)</f>
        <v>24.1065</v>
      </c>
      <c r="D759" s="8">
        <f>24.0825 * CHOOSE( CONTROL!$C$15, $D$11, 100%, $F$11)</f>
        <v>24.0825</v>
      </c>
      <c r="E759" s="12">
        <f>24.0901 * CHOOSE( CONTROL!$C$15, $D$11, 100%, $F$11)</f>
        <v>24.0901</v>
      </c>
      <c r="F759" s="4">
        <f>24.7568 * CHOOSE(CONTROL!$C$15, $D$11, 100%, $F$11)</f>
        <v>24.756799999999998</v>
      </c>
      <c r="G759" s="8">
        <f>23.5538 * CHOOSE( CONTROL!$C$15, $D$11, 100%, $F$11)</f>
        <v>23.553799999999999</v>
      </c>
      <c r="H759" s="4">
        <f>24.4388 * CHOOSE(CONTROL!$C$15, $D$11, 100%, $F$11)</f>
        <v>24.438800000000001</v>
      </c>
      <c r="I759" s="8">
        <f>23.2902 * CHOOSE(CONTROL!$C$15, $D$11, 100%, $F$11)</f>
        <v>23.290199999999999</v>
      </c>
      <c r="J759" s="4">
        <f>23.1198 * CHOOSE(CONTROL!$C$15, $D$11, 100%, $F$11)</f>
        <v>23.119800000000001</v>
      </c>
      <c r="K759" s="4"/>
      <c r="L759" s="9">
        <v>28.360600000000002</v>
      </c>
      <c r="M759" s="9">
        <v>11.6745</v>
      </c>
      <c r="N759" s="9">
        <v>4.7850000000000001</v>
      </c>
      <c r="O759" s="9">
        <v>0.36199999999999999</v>
      </c>
      <c r="P759" s="9">
        <v>1.2509999999999999</v>
      </c>
      <c r="Q759" s="9">
        <v>19.053000000000001</v>
      </c>
      <c r="R759" s="9"/>
      <c r="S759" s="11"/>
    </row>
    <row r="760" spans="1:19" ht="15.75">
      <c r="A760" s="13">
        <v>64650</v>
      </c>
      <c r="B760" s="8">
        <f>24.0519 * CHOOSE(CONTROL!$C$15, $D$11, 100%, $F$11)</f>
        <v>24.0519</v>
      </c>
      <c r="C760" s="8">
        <f>24.0627 * CHOOSE(CONTROL!$C$15, $D$11, 100%, $F$11)</f>
        <v>24.0627</v>
      </c>
      <c r="D760" s="8">
        <f>24.0404 * CHOOSE( CONTROL!$C$15, $D$11, 100%, $F$11)</f>
        <v>24.040400000000002</v>
      </c>
      <c r="E760" s="12">
        <f>24.0474 * CHOOSE( CONTROL!$C$15, $D$11, 100%, $F$11)</f>
        <v>24.0474</v>
      </c>
      <c r="F760" s="4">
        <f>24.713 * CHOOSE(CONTROL!$C$15, $D$11, 100%, $F$11)</f>
        <v>24.713000000000001</v>
      </c>
      <c r="G760" s="8">
        <f>23.5122 * CHOOSE( CONTROL!$C$15, $D$11, 100%, $F$11)</f>
        <v>23.5122</v>
      </c>
      <c r="H760" s="4">
        <f>24.396 * CHOOSE(CONTROL!$C$15, $D$11, 100%, $F$11)</f>
        <v>24.396000000000001</v>
      </c>
      <c r="I760" s="8">
        <f>23.2533 * CHOOSE(CONTROL!$C$15, $D$11, 100%, $F$11)</f>
        <v>23.253299999999999</v>
      </c>
      <c r="J760" s="4">
        <f>23.0778 * CHOOSE(CONTROL!$C$15, $D$11, 100%, $F$11)</f>
        <v>23.0778</v>
      </c>
      <c r="K760" s="4"/>
      <c r="L760" s="9">
        <v>29.306000000000001</v>
      </c>
      <c r="M760" s="9">
        <v>12.063700000000001</v>
      </c>
      <c r="N760" s="9">
        <v>4.9444999999999997</v>
      </c>
      <c r="O760" s="9">
        <v>0.37409999999999999</v>
      </c>
      <c r="P760" s="9">
        <v>1.2927</v>
      </c>
      <c r="Q760" s="9">
        <v>19.688099999999999</v>
      </c>
      <c r="R760" s="9"/>
      <c r="S760" s="11"/>
    </row>
    <row r="761" spans="1:19" ht="15.75">
      <c r="A761" s="13">
        <v>64681</v>
      </c>
      <c r="B761" s="8">
        <f>24.7609 * CHOOSE(CONTROL!$C$15, $D$11, 100%, $F$11)</f>
        <v>24.760899999999999</v>
      </c>
      <c r="C761" s="8">
        <f>24.7717 * CHOOSE(CONTROL!$C$15, $D$11, 100%, $F$11)</f>
        <v>24.771699999999999</v>
      </c>
      <c r="D761" s="8">
        <f>24.7533 * CHOOSE( CONTROL!$C$15, $D$11, 100%, $F$11)</f>
        <v>24.753299999999999</v>
      </c>
      <c r="E761" s="12">
        <f>24.7589 * CHOOSE( CONTROL!$C$15, $D$11, 100%, $F$11)</f>
        <v>24.758900000000001</v>
      </c>
      <c r="F761" s="4">
        <f>25.422 * CHOOSE(CONTROL!$C$15, $D$11, 100%, $F$11)</f>
        <v>25.422000000000001</v>
      </c>
      <c r="G761" s="8">
        <f>24.201 * CHOOSE( CONTROL!$C$15, $D$11, 100%, $F$11)</f>
        <v>24.201000000000001</v>
      </c>
      <c r="H761" s="4">
        <f>25.0892 * CHOOSE(CONTROL!$C$15, $D$11, 100%, $F$11)</f>
        <v>25.089200000000002</v>
      </c>
      <c r="I761" s="8">
        <f>23.8897 * CHOOSE(CONTROL!$C$15, $D$11, 100%, $F$11)</f>
        <v>23.889700000000001</v>
      </c>
      <c r="J761" s="4">
        <f>23.7585 * CHOOSE(CONTROL!$C$15, $D$11, 100%, $F$11)</f>
        <v>23.758500000000002</v>
      </c>
      <c r="K761" s="4"/>
      <c r="L761" s="9">
        <v>29.306000000000001</v>
      </c>
      <c r="M761" s="9">
        <v>12.063700000000001</v>
      </c>
      <c r="N761" s="9">
        <v>4.9444999999999997</v>
      </c>
      <c r="O761" s="9">
        <v>0.37409999999999999</v>
      </c>
      <c r="P761" s="9">
        <v>1.2927</v>
      </c>
      <c r="Q761" s="9">
        <v>19.688099999999999</v>
      </c>
      <c r="R761" s="9"/>
      <c r="S761" s="11"/>
    </row>
    <row r="762" spans="1:19" ht="15.75">
      <c r="A762" s="13">
        <v>64709</v>
      </c>
      <c r="B762" s="8">
        <f>23.1611 * CHOOSE(CONTROL!$C$15, $D$11, 100%, $F$11)</f>
        <v>23.161100000000001</v>
      </c>
      <c r="C762" s="8">
        <f>23.1719 * CHOOSE(CONTROL!$C$15, $D$11, 100%, $F$11)</f>
        <v>23.171900000000001</v>
      </c>
      <c r="D762" s="8">
        <f>23.1533 * CHOOSE( CONTROL!$C$15, $D$11, 100%, $F$11)</f>
        <v>23.153300000000002</v>
      </c>
      <c r="E762" s="12">
        <f>23.159 * CHOOSE( CONTROL!$C$15, $D$11, 100%, $F$11)</f>
        <v>23.158999999999999</v>
      </c>
      <c r="F762" s="4">
        <f>23.8222 * CHOOSE(CONTROL!$C$15, $D$11, 100%, $F$11)</f>
        <v>23.822199999999999</v>
      </c>
      <c r="G762" s="8">
        <f>22.6368 * CHOOSE( CONTROL!$C$15, $D$11, 100%, $F$11)</f>
        <v>22.636800000000001</v>
      </c>
      <c r="H762" s="4">
        <f>23.5251 * CHOOSE(CONTROL!$C$15, $D$11, 100%, $F$11)</f>
        <v>23.525099999999998</v>
      </c>
      <c r="I762" s="8">
        <f>22.3525 * CHOOSE(CONTROL!$C$15, $D$11, 100%, $F$11)</f>
        <v>22.352499999999999</v>
      </c>
      <c r="J762" s="4">
        <f>22.2225 * CHOOSE(CONTROL!$C$15, $D$11, 100%, $F$11)</f>
        <v>22.2225</v>
      </c>
      <c r="K762" s="4"/>
      <c r="L762" s="9">
        <v>26.469899999999999</v>
      </c>
      <c r="M762" s="9">
        <v>10.8962</v>
      </c>
      <c r="N762" s="9">
        <v>4.4660000000000002</v>
      </c>
      <c r="O762" s="9">
        <v>0.33789999999999998</v>
      </c>
      <c r="P762" s="9">
        <v>1.1676</v>
      </c>
      <c r="Q762" s="9">
        <v>17.782800000000002</v>
      </c>
      <c r="R762" s="9"/>
      <c r="S762" s="11"/>
    </row>
    <row r="763" spans="1:19" ht="15.75">
      <c r="A763" s="13">
        <v>64740</v>
      </c>
      <c r="B763" s="8">
        <f>22.6684 * CHOOSE(CONTROL!$C$15, $D$11, 100%, $F$11)</f>
        <v>22.668399999999998</v>
      </c>
      <c r="C763" s="8">
        <f>22.6792 * CHOOSE(CONTROL!$C$15, $D$11, 100%, $F$11)</f>
        <v>22.679200000000002</v>
      </c>
      <c r="D763" s="8">
        <f>22.6601 * CHOOSE( CONTROL!$C$15, $D$11, 100%, $F$11)</f>
        <v>22.6601</v>
      </c>
      <c r="E763" s="12">
        <f>22.6659 * CHOOSE( CONTROL!$C$15, $D$11, 100%, $F$11)</f>
        <v>22.665900000000001</v>
      </c>
      <c r="F763" s="4">
        <f>23.3295 * CHOOSE(CONTROL!$C$15, $D$11, 100%, $F$11)</f>
        <v>23.329499999999999</v>
      </c>
      <c r="G763" s="8">
        <f>22.1547 * CHOOSE( CONTROL!$C$15, $D$11, 100%, $F$11)</f>
        <v>22.154699999999998</v>
      </c>
      <c r="H763" s="4">
        <f>23.0434 * CHOOSE(CONTROL!$C$15, $D$11, 100%, $F$11)</f>
        <v>23.043399999999998</v>
      </c>
      <c r="I763" s="8">
        <f>21.8777 * CHOOSE(CONTROL!$C$15, $D$11, 100%, $F$11)</f>
        <v>21.877700000000001</v>
      </c>
      <c r="J763" s="4">
        <f>21.7495 * CHOOSE(CONTROL!$C$15, $D$11, 100%, $F$11)</f>
        <v>21.749500000000001</v>
      </c>
      <c r="K763" s="4"/>
      <c r="L763" s="9">
        <v>29.306000000000001</v>
      </c>
      <c r="M763" s="9">
        <v>12.063700000000001</v>
      </c>
      <c r="N763" s="9">
        <v>4.9444999999999997</v>
      </c>
      <c r="O763" s="9">
        <v>0.37409999999999999</v>
      </c>
      <c r="P763" s="9">
        <v>1.2927</v>
      </c>
      <c r="Q763" s="9">
        <v>19.688099999999999</v>
      </c>
      <c r="R763" s="9"/>
      <c r="S763" s="11"/>
    </row>
    <row r="764" spans="1:19" ht="15.75">
      <c r="A764" s="13">
        <v>64770</v>
      </c>
      <c r="B764" s="8">
        <f>23.0127 * CHOOSE(CONTROL!$C$15, $D$11, 100%, $F$11)</f>
        <v>23.012699999999999</v>
      </c>
      <c r="C764" s="8">
        <f>23.0235 * CHOOSE(CONTROL!$C$15, $D$11, 100%, $F$11)</f>
        <v>23.023499999999999</v>
      </c>
      <c r="D764" s="8">
        <f>23.0582 * CHOOSE( CONTROL!$C$15, $D$11, 100%, $F$11)</f>
        <v>23.058199999999999</v>
      </c>
      <c r="E764" s="12">
        <f>23.0455 * CHOOSE( CONTROL!$C$15, $D$11, 100%, $F$11)</f>
        <v>23.045500000000001</v>
      </c>
      <c r="F764" s="4">
        <f>23.7415 * CHOOSE(CONTROL!$C$15, $D$11, 100%, $F$11)</f>
        <v>23.741499999999998</v>
      </c>
      <c r="G764" s="8">
        <f>22.4941 * CHOOSE( CONTROL!$C$15, $D$11, 100%, $F$11)</f>
        <v>22.4941</v>
      </c>
      <c r="H764" s="4">
        <f>23.4462 * CHOOSE(CONTROL!$C$15, $D$11, 100%, $F$11)</f>
        <v>23.446200000000001</v>
      </c>
      <c r="I764" s="8">
        <f>22.2037 * CHOOSE(CONTROL!$C$15, $D$11, 100%, $F$11)</f>
        <v>22.203700000000001</v>
      </c>
      <c r="J764" s="4">
        <f>22.08 * CHOOSE(CONTROL!$C$15, $D$11, 100%, $F$11)</f>
        <v>22.08</v>
      </c>
      <c r="K764" s="4"/>
      <c r="L764" s="9">
        <v>30.092199999999998</v>
      </c>
      <c r="M764" s="9">
        <v>11.6745</v>
      </c>
      <c r="N764" s="9">
        <v>4.7850000000000001</v>
      </c>
      <c r="O764" s="9">
        <v>0.36199999999999999</v>
      </c>
      <c r="P764" s="9">
        <v>1.1791</v>
      </c>
      <c r="Q764" s="9">
        <v>19.053000000000001</v>
      </c>
      <c r="R764" s="9"/>
      <c r="S764" s="11"/>
    </row>
    <row r="765" spans="1:19" ht="15.75">
      <c r="A765" s="13">
        <v>64801</v>
      </c>
      <c r="B765" s="8">
        <f>CHOOSE( CONTROL!$C$32, 23.6277, 23.6254) * CHOOSE(CONTROL!$C$15, $D$11, 100%, $F$11)</f>
        <v>23.627700000000001</v>
      </c>
      <c r="C765" s="8">
        <f>CHOOSE( CONTROL!$C$32, 23.6382, 23.6359) * CHOOSE(CONTROL!$C$15, $D$11, 100%, $F$11)</f>
        <v>23.638200000000001</v>
      </c>
      <c r="D765" s="8">
        <f>CHOOSE( CONTROL!$C$32, 23.6721, 23.6698) * CHOOSE( CONTROL!$C$15, $D$11, 100%, $F$11)</f>
        <v>23.6721</v>
      </c>
      <c r="E765" s="12">
        <f>CHOOSE( CONTROL!$C$32, 23.6582, 23.6559) * CHOOSE( CONTROL!$C$15, $D$11, 100%, $F$11)</f>
        <v>23.658200000000001</v>
      </c>
      <c r="F765" s="4">
        <f>CHOOSE( CONTROL!$C$32, 24.3566, 24.3543) * CHOOSE(CONTROL!$C$15, $D$11, 100%, $F$11)</f>
        <v>24.3566</v>
      </c>
      <c r="G765" s="8">
        <f>CHOOSE( CONTROL!$C$32, 23.096, 23.0937) * CHOOSE( CONTROL!$C$15, $D$11, 100%, $F$11)</f>
        <v>23.096</v>
      </c>
      <c r="H765" s="4">
        <f>CHOOSE( CONTROL!$C$32, 24.0476, 24.0453) * CHOOSE(CONTROL!$C$15, $D$11, 100%, $F$11)</f>
        <v>24.047599999999999</v>
      </c>
      <c r="I765" s="8">
        <f>CHOOSE( CONTROL!$C$32, 22.7946, 22.7924) * CHOOSE(CONTROL!$C$15, $D$11, 100%, $F$11)</f>
        <v>22.794599999999999</v>
      </c>
      <c r="J765" s="4">
        <f>CHOOSE( CONTROL!$C$32, 22.6706, 22.6684) * CHOOSE(CONTROL!$C$15, $D$11, 100%, $F$11)</f>
        <v>22.6706</v>
      </c>
      <c r="K765" s="4"/>
      <c r="L765" s="9">
        <v>30.7165</v>
      </c>
      <c r="M765" s="9">
        <v>12.063700000000001</v>
      </c>
      <c r="N765" s="9">
        <v>4.9444999999999997</v>
      </c>
      <c r="O765" s="9">
        <v>0.37409999999999999</v>
      </c>
      <c r="P765" s="9">
        <v>1.2183999999999999</v>
      </c>
      <c r="Q765" s="9">
        <v>19.688099999999999</v>
      </c>
      <c r="R765" s="9"/>
      <c r="S765" s="11"/>
    </row>
    <row r="766" spans="1:19" ht="15.75">
      <c r="A766" s="13">
        <v>64831</v>
      </c>
      <c r="B766" s="8">
        <f>CHOOSE( CONTROL!$C$32, 23.2481, 23.2458) * CHOOSE(CONTROL!$C$15, $D$11, 100%, $F$11)</f>
        <v>23.248100000000001</v>
      </c>
      <c r="C766" s="8">
        <f>CHOOSE( CONTROL!$C$32, 23.2586, 23.2563) * CHOOSE(CONTROL!$C$15, $D$11, 100%, $F$11)</f>
        <v>23.258600000000001</v>
      </c>
      <c r="D766" s="8">
        <f>CHOOSE( CONTROL!$C$32, 23.2926, 23.2903) * CHOOSE( CONTROL!$C$15, $D$11, 100%, $F$11)</f>
        <v>23.2926</v>
      </c>
      <c r="E766" s="12">
        <f>CHOOSE( CONTROL!$C$32, 23.2787, 23.2764) * CHOOSE( CONTROL!$C$15, $D$11, 100%, $F$11)</f>
        <v>23.278700000000001</v>
      </c>
      <c r="F766" s="4">
        <f>CHOOSE( CONTROL!$C$32, 23.977, 23.9747) * CHOOSE(CONTROL!$C$15, $D$11, 100%, $F$11)</f>
        <v>23.977</v>
      </c>
      <c r="G766" s="8">
        <f>CHOOSE( CONTROL!$C$32, 22.7251, 22.7228) * CHOOSE( CONTROL!$C$15, $D$11, 100%, $F$11)</f>
        <v>22.725100000000001</v>
      </c>
      <c r="H766" s="4">
        <f>CHOOSE( CONTROL!$C$32, 23.6764, 23.6742) * CHOOSE(CONTROL!$C$15, $D$11, 100%, $F$11)</f>
        <v>23.676400000000001</v>
      </c>
      <c r="I766" s="8">
        <f>CHOOSE( CONTROL!$C$32, 22.4307, 22.4285) * CHOOSE(CONTROL!$C$15, $D$11, 100%, $F$11)</f>
        <v>22.430700000000002</v>
      </c>
      <c r="J766" s="4">
        <f>CHOOSE( CONTROL!$C$32, 22.3061, 22.3039) * CHOOSE(CONTROL!$C$15, $D$11, 100%, $F$11)</f>
        <v>22.306100000000001</v>
      </c>
      <c r="K766" s="4"/>
      <c r="L766" s="9">
        <v>29.7257</v>
      </c>
      <c r="M766" s="9">
        <v>11.6745</v>
      </c>
      <c r="N766" s="9">
        <v>4.7850000000000001</v>
      </c>
      <c r="O766" s="9">
        <v>0.36199999999999999</v>
      </c>
      <c r="P766" s="9">
        <v>1.1791</v>
      </c>
      <c r="Q766" s="9">
        <v>19.053000000000001</v>
      </c>
      <c r="R766" s="9"/>
      <c r="S766" s="11"/>
    </row>
    <row r="767" spans="1:19" ht="15.75">
      <c r="A767" s="13">
        <v>64862</v>
      </c>
      <c r="B767" s="8">
        <f>CHOOSE( CONTROL!$C$32, 24.2477, 24.2454) * CHOOSE(CONTROL!$C$15, $D$11, 100%, $F$11)</f>
        <v>24.247699999999998</v>
      </c>
      <c r="C767" s="8">
        <f>CHOOSE( CONTROL!$C$32, 24.2583, 24.256) * CHOOSE(CONTROL!$C$15, $D$11, 100%, $F$11)</f>
        <v>24.258299999999998</v>
      </c>
      <c r="D767" s="8">
        <f>CHOOSE( CONTROL!$C$32, 24.2925, 24.2902) * CHOOSE( CONTROL!$C$15, $D$11, 100%, $F$11)</f>
        <v>24.2925</v>
      </c>
      <c r="E767" s="12">
        <f>CHOOSE( CONTROL!$C$32, 24.2785, 24.2762) * CHOOSE( CONTROL!$C$15, $D$11, 100%, $F$11)</f>
        <v>24.278500000000001</v>
      </c>
      <c r="F767" s="4">
        <f>CHOOSE( CONTROL!$C$32, 24.9766, 24.9743) * CHOOSE(CONTROL!$C$15, $D$11, 100%, $F$11)</f>
        <v>24.976600000000001</v>
      </c>
      <c r="G767" s="8">
        <f>CHOOSE( CONTROL!$C$32, 23.7027, 23.7005) * CHOOSE( CONTROL!$C$15, $D$11, 100%, $F$11)</f>
        <v>23.7027</v>
      </c>
      <c r="H767" s="4">
        <f>CHOOSE( CONTROL!$C$32, 24.6538, 24.6515) * CHOOSE(CONTROL!$C$15, $D$11, 100%, $F$11)</f>
        <v>24.6538</v>
      </c>
      <c r="I767" s="8">
        <f>CHOOSE( CONTROL!$C$32, 23.3919, 23.3897) * CHOOSE(CONTROL!$C$15, $D$11, 100%, $F$11)</f>
        <v>23.3919</v>
      </c>
      <c r="J767" s="4">
        <f>CHOOSE( CONTROL!$C$32, 23.2659, 23.2637) * CHOOSE(CONTROL!$C$15, $D$11, 100%, $F$11)</f>
        <v>23.265899999999998</v>
      </c>
      <c r="K767" s="4"/>
      <c r="L767" s="9">
        <v>30.7165</v>
      </c>
      <c r="M767" s="9">
        <v>12.063700000000001</v>
      </c>
      <c r="N767" s="9">
        <v>4.9444999999999997</v>
      </c>
      <c r="O767" s="9">
        <v>0.37409999999999999</v>
      </c>
      <c r="P767" s="9">
        <v>1.2183999999999999</v>
      </c>
      <c r="Q767" s="9">
        <v>19.688099999999999</v>
      </c>
      <c r="R767" s="9"/>
      <c r="S767" s="11"/>
    </row>
    <row r="768" spans="1:19" ht="15.75">
      <c r="A768" s="13">
        <v>64893</v>
      </c>
      <c r="B768" s="8">
        <f>CHOOSE( CONTROL!$C$32, 22.3773, 22.375) * CHOOSE(CONTROL!$C$15, $D$11, 100%, $F$11)</f>
        <v>22.377300000000002</v>
      </c>
      <c r="C768" s="8">
        <f>CHOOSE( CONTROL!$C$32, 22.3878, 22.3855) * CHOOSE(CONTROL!$C$15, $D$11, 100%, $F$11)</f>
        <v>22.387799999999999</v>
      </c>
      <c r="D768" s="8">
        <f>CHOOSE( CONTROL!$C$32, 22.4221, 22.4198) * CHOOSE( CONTROL!$C$15, $D$11, 100%, $F$11)</f>
        <v>22.4221</v>
      </c>
      <c r="E768" s="12">
        <f>CHOOSE( CONTROL!$C$32, 22.4081, 22.4058) * CHOOSE( CONTROL!$C$15, $D$11, 100%, $F$11)</f>
        <v>22.408100000000001</v>
      </c>
      <c r="F768" s="4">
        <f>CHOOSE( CONTROL!$C$32, 23.1062, 23.1039) * CHOOSE(CONTROL!$C$15, $D$11, 100%, $F$11)</f>
        <v>23.106200000000001</v>
      </c>
      <c r="G768" s="8">
        <f>CHOOSE( CONTROL!$C$32, 21.8741, 21.8719) * CHOOSE( CONTROL!$C$15, $D$11, 100%, $F$11)</f>
        <v>21.874099999999999</v>
      </c>
      <c r="H768" s="4">
        <f>CHOOSE( CONTROL!$C$32, 22.8251, 22.8228) * CHOOSE(CONTROL!$C$15, $D$11, 100%, $F$11)</f>
        <v>22.825099999999999</v>
      </c>
      <c r="I768" s="8">
        <f>CHOOSE( CONTROL!$C$32, 21.5955, 21.5933) * CHOOSE(CONTROL!$C$15, $D$11, 100%, $F$11)</f>
        <v>21.595500000000001</v>
      </c>
      <c r="J768" s="4">
        <f>CHOOSE( CONTROL!$C$32, 21.4701, 21.4679) * CHOOSE(CONTROL!$C$15, $D$11, 100%, $F$11)</f>
        <v>21.470099999999999</v>
      </c>
      <c r="K768" s="4"/>
      <c r="L768" s="9">
        <v>30.7165</v>
      </c>
      <c r="M768" s="9">
        <v>12.063700000000001</v>
      </c>
      <c r="N768" s="9">
        <v>4.9444999999999997</v>
      </c>
      <c r="O768" s="9">
        <v>0.37409999999999999</v>
      </c>
      <c r="P768" s="9">
        <v>1.2183999999999999</v>
      </c>
      <c r="Q768" s="9">
        <v>19.688099999999999</v>
      </c>
      <c r="R768" s="9"/>
      <c r="S768" s="11"/>
    </row>
    <row r="769" spans="1:19" ht="15.75">
      <c r="A769" s="13">
        <v>64923</v>
      </c>
      <c r="B769" s="8">
        <f>CHOOSE( CONTROL!$C$32, 21.9089, 21.9066) * CHOOSE(CONTROL!$C$15, $D$11, 100%, $F$11)</f>
        <v>21.908899999999999</v>
      </c>
      <c r="C769" s="8">
        <f>CHOOSE( CONTROL!$C$32, 21.9195, 21.9172) * CHOOSE(CONTROL!$C$15, $D$11, 100%, $F$11)</f>
        <v>21.919499999999999</v>
      </c>
      <c r="D769" s="8">
        <f>CHOOSE( CONTROL!$C$32, 21.9537, 21.9514) * CHOOSE( CONTROL!$C$15, $D$11, 100%, $F$11)</f>
        <v>21.953700000000001</v>
      </c>
      <c r="E769" s="12">
        <f>CHOOSE( CONTROL!$C$32, 21.9397, 21.9374) * CHOOSE( CONTROL!$C$15, $D$11, 100%, $F$11)</f>
        <v>21.939699999999998</v>
      </c>
      <c r="F769" s="4">
        <f>CHOOSE( CONTROL!$C$32, 22.6378, 22.6355) * CHOOSE(CONTROL!$C$15, $D$11, 100%, $F$11)</f>
        <v>22.637799999999999</v>
      </c>
      <c r="G769" s="8">
        <f>CHOOSE( CONTROL!$C$32, 21.4161, 21.4139) * CHOOSE( CONTROL!$C$15, $D$11, 100%, $F$11)</f>
        <v>21.4161</v>
      </c>
      <c r="H769" s="4">
        <f>CHOOSE( CONTROL!$C$32, 22.3671, 22.3649) * CHOOSE(CONTROL!$C$15, $D$11, 100%, $F$11)</f>
        <v>22.367100000000001</v>
      </c>
      <c r="I769" s="8">
        <f>CHOOSE( CONTROL!$C$32, 21.1455, 21.1433) * CHOOSE(CONTROL!$C$15, $D$11, 100%, $F$11)</f>
        <v>21.145499999999998</v>
      </c>
      <c r="J769" s="4">
        <f>CHOOSE( CONTROL!$C$32, 21.0204, 21.0182) * CHOOSE(CONTROL!$C$15, $D$11, 100%, $F$11)</f>
        <v>21.020399999999999</v>
      </c>
      <c r="K769" s="4"/>
      <c r="L769" s="9">
        <v>29.7257</v>
      </c>
      <c r="M769" s="9">
        <v>11.6745</v>
      </c>
      <c r="N769" s="9">
        <v>4.7850000000000001</v>
      </c>
      <c r="O769" s="9">
        <v>0.36199999999999999</v>
      </c>
      <c r="P769" s="9">
        <v>1.1791</v>
      </c>
      <c r="Q769" s="9">
        <v>19.053000000000001</v>
      </c>
      <c r="R769" s="9"/>
      <c r="S769" s="11"/>
    </row>
    <row r="770" spans="1:19" ht="15.75">
      <c r="A770" s="13">
        <v>64954</v>
      </c>
      <c r="B770" s="8">
        <f>22.8792 * CHOOSE(CONTROL!$C$15, $D$11, 100%, $F$11)</f>
        <v>22.879200000000001</v>
      </c>
      <c r="C770" s="8">
        <f>22.89 * CHOOSE(CONTROL!$C$15, $D$11, 100%, $F$11)</f>
        <v>22.89</v>
      </c>
      <c r="D770" s="8">
        <f>22.9254 * CHOOSE( CONTROL!$C$15, $D$11, 100%, $F$11)</f>
        <v>22.9254</v>
      </c>
      <c r="E770" s="12">
        <f>22.9126 * CHOOSE( CONTROL!$C$15, $D$11, 100%, $F$11)</f>
        <v>22.912600000000001</v>
      </c>
      <c r="F770" s="4">
        <f>23.608 * CHOOSE(CONTROL!$C$15, $D$11, 100%, $F$11)</f>
        <v>23.608000000000001</v>
      </c>
      <c r="G770" s="8">
        <f>22.3645 * CHOOSE( CONTROL!$C$15, $D$11, 100%, $F$11)</f>
        <v>22.3645</v>
      </c>
      <c r="H770" s="4">
        <f>23.3157 * CHOOSE(CONTROL!$C$15, $D$11, 100%, $F$11)</f>
        <v>23.3157</v>
      </c>
      <c r="I770" s="8">
        <f>22.0783 * CHOOSE(CONTROL!$C$15, $D$11, 100%, $F$11)</f>
        <v>22.078299999999999</v>
      </c>
      <c r="J770" s="4">
        <f>21.9519 * CHOOSE(CONTROL!$C$15, $D$11, 100%, $F$11)</f>
        <v>21.951899999999998</v>
      </c>
      <c r="K770" s="4"/>
      <c r="L770" s="9">
        <v>31.095300000000002</v>
      </c>
      <c r="M770" s="9">
        <v>12.063700000000001</v>
      </c>
      <c r="N770" s="9">
        <v>4.9444999999999997</v>
      </c>
      <c r="O770" s="9">
        <v>0.37409999999999999</v>
      </c>
      <c r="P770" s="9">
        <v>1.2183999999999999</v>
      </c>
      <c r="Q770" s="9">
        <v>19.688099999999999</v>
      </c>
      <c r="R770" s="9"/>
      <c r="S770" s="11"/>
    </row>
    <row r="771" spans="1:19" ht="15.75">
      <c r="A771" s="13">
        <v>64984</v>
      </c>
      <c r="B771" s="8">
        <f>24.6743 * CHOOSE(CONTROL!$C$15, $D$11, 100%, $F$11)</f>
        <v>24.674299999999999</v>
      </c>
      <c r="C771" s="8">
        <f>24.6851 * CHOOSE(CONTROL!$C$15, $D$11, 100%, $F$11)</f>
        <v>24.685099999999998</v>
      </c>
      <c r="D771" s="8">
        <f>24.6611 * CHOOSE( CONTROL!$C$15, $D$11, 100%, $F$11)</f>
        <v>24.661100000000001</v>
      </c>
      <c r="E771" s="12">
        <f>24.6687 * CHOOSE( CONTROL!$C$15, $D$11, 100%, $F$11)</f>
        <v>24.668700000000001</v>
      </c>
      <c r="F771" s="4">
        <f>25.3354 * CHOOSE(CONTROL!$C$15, $D$11, 100%, $F$11)</f>
        <v>25.3354</v>
      </c>
      <c r="G771" s="8">
        <f>24.1195 * CHOOSE( CONTROL!$C$15, $D$11, 100%, $F$11)</f>
        <v>24.119499999999999</v>
      </c>
      <c r="H771" s="4">
        <f>25.0045 * CHOOSE(CONTROL!$C$15, $D$11, 100%, $F$11)</f>
        <v>25.0045</v>
      </c>
      <c r="I771" s="8">
        <f>23.846 * CHOOSE(CONTROL!$C$15, $D$11, 100%, $F$11)</f>
        <v>23.846</v>
      </c>
      <c r="J771" s="4">
        <f>23.6753 * CHOOSE(CONTROL!$C$15, $D$11, 100%, $F$11)</f>
        <v>23.6753</v>
      </c>
      <c r="K771" s="4"/>
      <c r="L771" s="9">
        <v>28.360600000000002</v>
      </c>
      <c r="M771" s="9">
        <v>11.6745</v>
      </c>
      <c r="N771" s="9">
        <v>4.7850000000000001</v>
      </c>
      <c r="O771" s="9">
        <v>0.36199999999999999</v>
      </c>
      <c r="P771" s="9">
        <v>1.2509999999999999</v>
      </c>
      <c r="Q771" s="9">
        <v>19.053000000000001</v>
      </c>
      <c r="R771" s="9"/>
      <c r="S771" s="11"/>
    </row>
    <row r="772" spans="1:19" ht="15.75">
      <c r="A772" s="13">
        <v>65015</v>
      </c>
      <c r="B772" s="8">
        <f>24.6294 * CHOOSE(CONTROL!$C$15, $D$11, 100%, $F$11)</f>
        <v>24.6294</v>
      </c>
      <c r="C772" s="8">
        <f>24.6402 * CHOOSE(CONTROL!$C$15, $D$11, 100%, $F$11)</f>
        <v>24.6402</v>
      </c>
      <c r="D772" s="8">
        <f>24.6179 * CHOOSE( CONTROL!$C$15, $D$11, 100%, $F$11)</f>
        <v>24.617899999999999</v>
      </c>
      <c r="E772" s="12">
        <f>24.6249 * CHOOSE( CONTROL!$C$15, $D$11, 100%, $F$11)</f>
        <v>24.6249</v>
      </c>
      <c r="F772" s="4">
        <f>25.2905 * CHOOSE(CONTROL!$C$15, $D$11, 100%, $F$11)</f>
        <v>25.290500000000002</v>
      </c>
      <c r="G772" s="8">
        <f>24.0769 * CHOOSE( CONTROL!$C$15, $D$11, 100%, $F$11)</f>
        <v>24.076899999999998</v>
      </c>
      <c r="H772" s="4">
        <f>24.9607 * CHOOSE(CONTROL!$C$15, $D$11, 100%, $F$11)</f>
        <v>24.960699999999999</v>
      </c>
      <c r="I772" s="8">
        <f>23.8081 * CHOOSE(CONTROL!$C$15, $D$11, 100%, $F$11)</f>
        <v>23.8081</v>
      </c>
      <c r="J772" s="4">
        <f>23.6323 * CHOOSE(CONTROL!$C$15, $D$11, 100%, $F$11)</f>
        <v>23.632300000000001</v>
      </c>
      <c r="K772" s="4"/>
      <c r="L772" s="9">
        <v>29.306000000000001</v>
      </c>
      <c r="M772" s="9">
        <v>12.063700000000001</v>
      </c>
      <c r="N772" s="9">
        <v>4.9444999999999997</v>
      </c>
      <c r="O772" s="9">
        <v>0.37409999999999999</v>
      </c>
      <c r="P772" s="9">
        <v>1.2927</v>
      </c>
      <c r="Q772" s="9">
        <v>19.688099999999999</v>
      </c>
      <c r="R772" s="9"/>
      <c r="S772" s="11"/>
    </row>
    <row r="773" spans="1:19" ht="15.75">
      <c r="A773" s="13">
        <v>65046</v>
      </c>
      <c r="B773" s="8">
        <f>25.3555 * CHOOSE(CONTROL!$C$15, $D$11, 100%, $F$11)</f>
        <v>25.355499999999999</v>
      </c>
      <c r="C773" s="8">
        <f>25.3662 * CHOOSE(CONTROL!$C$15, $D$11, 100%, $F$11)</f>
        <v>25.366199999999999</v>
      </c>
      <c r="D773" s="8">
        <f>25.3479 * CHOOSE( CONTROL!$C$15, $D$11, 100%, $F$11)</f>
        <v>25.347899999999999</v>
      </c>
      <c r="E773" s="12">
        <f>25.3535 * CHOOSE( CONTROL!$C$15, $D$11, 100%, $F$11)</f>
        <v>25.3535</v>
      </c>
      <c r="F773" s="4">
        <f>26.0166 * CHOOSE(CONTROL!$C$15, $D$11, 100%, $F$11)</f>
        <v>26.0166</v>
      </c>
      <c r="G773" s="8">
        <f>24.7824 * CHOOSE( CONTROL!$C$15, $D$11, 100%, $F$11)</f>
        <v>24.782399999999999</v>
      </c>
      <c r="H773" s="4">
        <f>25.6705 * CHOOSE(CONTROL!$C$15, $D$11, 100%, $F$11)</f>
        <v>25.670500000000001</v>
      </c>
      <c r="I773" s="8">
        <f>24.4609 * CHOOSE(CONTROL!$C$15, $D$11, 100%, $F$11)</f>
        <v>24.460899999999999</v>
      </c>
      <c r="J773" s="4">
        <f>24.3293 * CHOOSE(CONTROL!$C$15, $D$11, 100%, $F$11)</f>
        <v>24.3293</v>
      </c>
      <c r="K773" s="4"/>
      <c r="L773" s="9">
        <v>29.306000000000001</v>
      </c>
      <c r="M773" s="9">
        <v>12.063700000000001</v>
      </c>
      <c r="N773" s="9">
        <v>4.9444999999999997</v>
      </c>
      <c r="O773" s="9">
        <v>0.37409999999999999</v>
      </c>
      <c r="P773" s="9">
        <v>1.2927</v>
      </c>
      <c r="Q773" s="9">
        <v>19.688099999999999</v>
      </c>
      <c r="R773" s="9"/>
      <c r="S773" s="11"/>
    </row>
    <row r="774" spans="1:19" ht="15.75">
      <c r="A774" s="13">
        <v>65074</v>
      </c>
      <c r="B774" s="8">
        <f>23.7173 * CHOOSE(CONTROL!$C$15, $D$11, 100%, $F$11)</f>
        <v>23.717300000000002</v>
      </c>
      <c r="C774" s="8">
        <f>23.728 * CHOOSE(CONTROL!$C$15, $D$11, 100%, $F$11)</f>
        <v>23.728000000000002</v>
      </c>
      <c r="D774" s="8">
        <f>23.7095 * CHOOSE( CONTROL!$C$15, $D$11, 100%, $F$11)</f>
        <v>23.709499999999998</v>
      </c>
      <c r="E774" s="12">
        <f>23.7151 * CHOOSE( CONTROL!$C$15, $D$11, 100%, $F$11)</f>
        <v>23.7151</v>
      </c>
      <c r="F774" s="4">
        <f>24.3784 * CHOOSE(CONTROL!$C$15, $D$11, 100%, $F$11)</f>
        <v>24.378399999999999</v>
      </c>
      <c r="G774" s="8">
        <f>23.1806 * CHOOSE( CONTROL!$C$15, $D$11, 100%, $F$11)</f>
        <v>23.180599999999998</v>
      </c>
      <c r="H774" s="4">
        <f>24.0688 * CHOOSE(CONTROL!$C$15, $D$11, 100%, $F$11)</f>
        <v>24.0688</v>
      </c>
      <c r="I774" s="8">
        <f>22.8867 * CHOOSE(CONTROL!$C$15, $D$11, 100%, $F$11)</f>
        <v>22.886700000000001</v>
      </c>
      <c r="J774" s="4">
        <f>22.7565 * CHOOSE(CONTROL!$C$15, $D$11, 100%, $F$11)</f>
        <v>22.756499999999999</v>
      </c>
      <c r="K774" s="4"/>
      <c r="L774" s="9">
        <v>26.469899999999999</v>
      </c>
      <c r="M774" s="9">
        <v>10.8962</v>
      </c>
      <c r="N774" s="9">
        <v>4.4660000000000002</v>
      </c>
      <c r="O774" s="9">
        <v>0.33789999999999998</v>
      </c>
      <c r="P774" s="9">
        <v>1.1676</v>
      </c>
      <c r="Q774" s="9">
        <v>17.782800000000002</v>
      </c>
      <c r="R774" s="9"/>
      <c r="S774" s="11"/>
    </row>
    <row r="775" spans="1:19" ht="15.75">
      <c r="A775" s="13">
        <v>65105</v>
      </c>
      <c r="B775" s="8">
        <f>23.2127 * CHOOSE(CONTROL!$C$15, $D$11, 100%, $F$11)</f>
        <v>23.212700000000002</v>
      </c>
      <c r="C775" s="8">
        <f>23.2235 * CHOOSE(CONTROL!$C$15, $D$11, 100%, $F$11)</f>
        <v>23.223500000000001</v>
      </c>
      <c r="D775" s="8">
        <f>23.2044 * CHOOSE( CONTROL!$C$15, $D$11, 100%, $F$11)</f>
        <v>23.2044</v>
      </c>
      <c r="E775" s="12">
        <f>23.2102 * CHOOSE( CONTROL!$C$15, $D$11, 100%, $F$11)</f>
        <v>23.2102</v>
      </c>
      <c r="F775" s="4">
        <f>23.8738 * CHOOSE(CONTROL!$C$15, $D$11, 100%, $F$11)</f>
        <v>23.873799999999999</v>
      </c>
      <c r="G775" s="8">
        <f>22.6869 * CHOOSE( CONTROL!$C$15, $D$11, 100%, $F$11)</f>
        <v>22.686900000000001</v>
      </c>
      <c r="H775" s="4">
        <f>23.5755 * CHOOSE(CONTROL!$C$15, $D$11, 100%, $F$11)</f>
        <v>23.575500000000002</v>
      </c>
      <c r="I775" s="8">
        <f>22.4005 * CHOOSE(CONTROL!$C$15, $D$11, 100%, $F$11)</f>
        <v>22.400500000000001</v>
      </c>
      <c r="J775" s="4">
        <f>22.2721 * CHOOSE(CONTROL!$C$15, $D$11, 100%, $F$11)</f>
        <v>22.272099999999998</v>
      </c>
      <c r="K775" s="4"/>
      <c r="L775" s="9">
        <v>29.306000000000001</v>
      </c>
      <c r="M775" s="9">
        <v>12.063700000000001</v>
      </c>
      <c r="N775" s="9">
        <v>4.9444999999999997</v>
      </c>
      <c r="O775" s="9">
        <v>0.37409999999999999</v>
      </c>
      <c r="P775" s="9">
        <v>1.2927</v>
      </c>
      <c r="Q775" s="9">
        <v>19.688099999999999</v>
      </c>
      <c r="R775" s="9"/>
      <c r="S775" s="11"/>
    </row>
    <row r="776" spans="1:19" ht="15.75">
      <c r="A776" s="13">
        <v>65135</v>
      </c>
      <c r="B776" s="8">
        <f>23.5652 * CHOOSE(CONTROL!$C$15, $D$11, 100%, $F$11)</f>
        <v>23.565200000000001</v>
      </c>
      <c r="C776" s="8">
        <f>23.576 * CHOOSE(CONTROL!$C$15, $D$11, 100%, $F$11)</f>
        <v>23.576000000000001</v>
      </c>
      <c r="D776" s="8">
        <f>23.6108 * CHOOSE( CONTROL!$C$15, $D$11, 100%, $F$11)</f>
        <v>23.610800000000001</v>
      </c>
      <c r="E776" s="12">
        <f>23.5981 * CHOOSE( CONTROL!$C$15, $D$11, 100%, $F$11)</f>
        <v>23.598099999999999</v>
      </c>
      <c r="F776" s="4">
        <f>24.2941 * CHOOSE(CONTROL!$C$15, $D$11, 100%, $F$11)</f>
        <v>24.2941</v>
      </c>
      <c r="G776" s="8">
        <f>23.0344 * CHOOSE( CONTROL!$C$15, $D$11, 100%, $F$11)</f>
        <v>23.034400000000002</v>
      </c>
      <c r="H776" s="4">
        <f>23.9864 * CHOOSE(CONTROL!$C$15, $D$11, 100%, $F$11)</f>
        <v>23.9864</v>
      </c>
      <c r="I776" s="8">
        <f>22.7345 * CHOOSE(CONTROL!$C$15, $D$11, 100%, $F$11)</f>
        <v>22.734500000000001</v>
      </c>
      <c r="J776" s="4">
        <f>22.6106 * CHOOSE(CONTROL!$C$15, $D$11, 100%, $F$11)</f>
        <v>22.610600000000002</v>
      </c>
      <c r="K776" s="4"/>
      <c r="L776" s="9">
        <v>30.092199999999998</v>
      </c>
      <c r="M776" s="9">
        <v>11.6745</v>
      </c>
      <c r="N776" s="9">
        <v>4.7850000000000001</v>
      </c>
      <c r="O776" s="9">
        <v>0.36199999999999999</v>
      </c>
      <c r="P776" s="9">
        <v>1.1791</v>
      </c>
      <c r="Q776" s="9">
        <v>19.053000000000001</v>
      </c>
      <c r="R776" s="9"/>
      <c r="S776" s="11"/>
    </row>
    <row r="777" spans="1:19" ht="15.75">
      <c r="A777" s="13">
        <v>65166</v>
      </c>
      <c r="B777" s="8">
        <f>CHOOSE( CONTROL!$C$32, 24.195, 24.1927) * CHOOSE(CONTROL!$C$15, $D$11, 100%, $F$11)</f>
        <v>24.195</v>
      </c>
      <c r="C777" s="8">
        <f>CHOOSE( CONTROL!$C$32, 24.2055, 24.2032) * CHOOSE(CONTROL!$C$15, $D$11, 100%, $F$11)</f>
        <v>24.205500000000001</v>
      </c>
      <c r="D777" s="8">
        <f>CHOOSE( CONTROL!$C$32, 24.2394, 24.2371) * CHOOSE( CONTROL!$C$15, $D$11, 100%, $F$11)</f>
        <v>24.2394</v>
      </c>
      <c r="E777" s="12">
        <f>CHOOSE( CONTROL!$C$32, 24.2255, 24.2232) * CHOOSE( CONTROL!$C$15, $D$11, 100%, $F$11)</f>
        <v>24.2255</v>
      </c>
      <c r="F777" s="4">
        <f>CHOOSE( CONTROL!$C$32, 24.9239, 24.9216) * CHOOSE(CONTROL!$C$15, $D$11, 100%, $F$11)</f>
        <v>24.9239</v>
      </c>
      <c r="G777" s="8">
        <f>CHOOSE( CONTROL!$C$32, 23.6506, 23.6484) * CHOOSE( CONTROL!$C$15, $D$11, 100%, $F$11)</f>
        <v>23.650600000000001</v>
      </c>
      <c r="H777" s="4">
        <f>CHOOSE( CONTROL!$C$32, 24.6022, 24.5999) * CHOOSE(CONTROL!$C$15, $D$11, 100%, $F$11)</f>
        <v>24.6022</v>
      </c>
      <c r="I777" s="8">
        <f>CHOOSE( CONTROL!$C$32, 23.3396, 23.3373) * CHOOSE(CONTROL!$C$15, $D$11, 100%, $F$11)</f>
        <v>23.339600000000001</v>
      </c>
      <c r="J777" s="4">
        <f>CHOOSE( CONTROL!$C$32, 23.2152, 23.213) * CHOOSE(CONTROL!$C$15, $D$11, 100%, $F$11)</f>
        <v>23.215199999999999</v>
      </c>
      <c r="K777" s="4"/>
      <c r="L777" s="9">
        <v>30.7165</v>
      </c>
      <c r="M777" s="9">
        <v>12.063700000000001</v>
      </c>
      <c r="N777" s="9">
        <v>4.9444999999999997</v>
      </c>
      <c r="O777" s="9">
        <v>0.37409999999999999</v>
      </c>
      <c r="P777" s="9">
        <v>1.2183999999999999</v>
      </c>
      <c r="Q777" s="9">
        <v>19.688099999999999</v>
      </c>
      <c r="R777" s="9"/>
      <c r="S777" s="11"/>
    </row>
    <row r="778" spans="1:19" ht="15.75">
      <c r="A778" s="13">
        <v>65196</v>
      </c>
      <c r="B778" s="8">
        <f>CHOOSE( CONTROL!$C$32, 23.8062, 23.8039) * CHOOSE(CONTROL!$C$15, $D$11, 100%, $F$11)</f>
        <v>23.8062</v>
      </c>
      <c r="C778" s="8">
        <f>CHOOSE( CONTROL!$C$32, 23.8168, 23.8145) * CHOOSE(CONTROL!$C$15, $D$11, 100%, $F$11)</f>
        <v>23.816800000000001</v>
      </c>
      <c r="D778" s="8">
        <f>CHOOSE( CONTROL!$C$32, 23.8508, 23.8485) * CHOOSE( CONTROL!$C$15, $D$11, 100%, $F$11)</f>
        <v>23.8508</v>
      </c>
      <c r="E778" s="12">
        <f>CHOOSE( CONTROL!$C$32, 23.8369, 23.8346) * CHOOSE( CONTROL!$C$15, $D$11, 100%, $F$11)</f>
        <v>23.8369</v>
      </c>
      <c r="F778" s="4">
        <f>CHOOSE( CONTROL!$C$32, 24.5352, 24.5329) * CHOOSE(CONTROL!$C$15, $D$11, 100%, $F$11)</f>
        <v>24.5352</v>
      </c>
      <c r="G778" s="8">
        <f>CHOOSE( CONTROL!$C$32, 23.2708, 23.2686) * CHOOSE( CONTROL!$C$15, $D$11, 100%, $F$11)</f>
        <v>23.270800000000001</v>
      </c>
      <c r="H778" s="4">
        <f>CHOOSE( CONTROL!$C$32, 24.2221, 24.2199) * CHOOSE(CONTROL!$C$15, $D$11, 100%, $F$11)</f>
        <v>24.222100000000001</v>
      </c>
      <c r="I778" s="8">
        <f>CHOOSE( CONTROL!$C$32, 22.9669, 22.9647) * CHOOSE(CONTROL!$C$15, $D$11, 100%, $F$11)</f>
        <v>22.966899999999999</v>
      </c>
      <c r="J778" s="4">
        <f>CHOOSE( CONTROL!$C$32, 22.842, 22.8398) * CHOOSE(CONTROL!$C$15, $D$11, 100%, $F$11)</f>
        <v>22.841999999999999</v>
      </c>
      <c r="K778" s="4"/>
      <c r="L778" s="9">
        <v>29.7257</v>
      </c>
      <c r="M778" s="9">
        <v>11.6745</v>
      </c>
      <c r="N778" s="9">
        <v>4.7850000000000001</v>
      </c>
      <c r="O778" s="9">
        <v>0.36199999999999999</v>
      </c>
      <c r="P778" s="9">
        <v>1.1791</v>
      </c>
      <c r="Q778" s="9">
        <v>19.053000000000001</v>
      </c>
      <c r="R778" s="9"/>
      <c r="S778" s="11"/>
    </row>
    <row r="779" spans="1:19" ht="15.75">
      <c r="A779" s="13">
        <v>65227</v>
      </c>
      <c r="B779" s="8">
        <f>CHOOSE( CONTROL!$C$32, 24.8299, 24.8276) * CHOOSE(CONTROL!$C$15, $D$11, 100%, $F$11)</f>
        <v>24.829899999999999</v>
      </c>
      <c r="C779" s="8">
        <f>CHOOSE( CONTROL!$C$32, 24.8405, 24.8382) * CHOOSE(CONTROL!$C$15, $D$11, 100%, $F$11)</f>
        <v>24.840499999999999</v>
      </c>
      <c r="D779" s="8">
        <f>CHOOSE( CONTROL!$C$32, 24.8747, 24.8724) * CHOOSE( CONTROL!$C$15, $D$11, 100%, $F$11)</f>
        <v>24.874700000000001</v>
      </c>
      <c r="E779" s="12">
        <f>CHOOSE( CONTROL!$C$32, 24.8607, 24.8584) * CHOOSE( CONTROL!$C$15, $D$11, 100%, $F$11)</f>
        <v>24.860700000000001</v>
      </c>
      <c r="F779" s="4">
        <f>CHOOSE( CONTROL!$C$32, 25.5588, 25.5565) * CHOOSE(CONTROL!$C$15, $D$11, 100%, $F$11)</f>
        <v>25.558800000000002</v>
      </c>
      <c r="G779" s="8">
        <f>CHOOSE( CONTROL!$C$32, 24.2719, 24.2697) * CHOOSE( CONTROL!$C$15, $D$11, 100%, $F$11)</f>
        <v>24.271899999999999</v>
      </c>
      <c r="H779" s="4">
        <f>CHOOSE( CONTROL!$C$32, 25.223, 25.2207) * CHOOSE(CONTROL!$C$15, $D$11, 100%, $F$11)</f>
        <v>25.222999999999999</v>
      </c>
      <c r="I779" s="8">
        <f>CHOOSE( CONTROL!$C$32, 23.9512, 23.949) * CHOOSE(CONTROL!$C$15, $D$11, 100%, $F$11)</f>
        <v>23.9512</v>
      </c>
      <c r="J779" s="4">
        <f>CHOOSE( CONTROL!$C$32, 23.8248, 23.8226) * CHOOSE(CONTROL!$C$15, $D$11, 100%, $F$11)</f>
        <v>23.8248</v>
      </c>
      <c r="K779" s="4"/>
      <c r="L779" s="9">
        <v>30.7165</v>
      </c>
      <c r="M779" s="9">
        <v>12.063700000000001</v>
      </c>
      <c r="N779" s="9">
        <v>4.9444999999999997</v>
      </c>
      <c r="O779" s="9">
        <v>0.37409999999999999</v>
      </c>
      <c r="P779" s="9">
        <v>1.2183999999999999</v>
      </c>
      <c r="Q779" s="9">
        <v>19.688099999999999</v>
      </c>
      <c r="R779" s="9"/>
      <c r="S779" s="11"/>
    </row>
    <row r="780" spans="1:19" ht="15.75">
      <c r="A780" s="13">
        <v>65258</v>
      </c>
      <c r="B780" s="8">
        <f>CHOOSE( CONTROL!$C$32, 22.9145, 22.9122) * CHOOSE(CONTROL!$C$15, $D$11, 100%, $F$11)</f>
        <v>22.9145</v>
      </c>
      <c r="C780" s="8">
        <f>CHOOSE( CONTROL!$C$32, 22.9251, 22.9228) * CHOOSE(CONTROL!$C$15, $D$11, 100%, $F$11)</f>
        <v>22.9251</v>
      </c>
      <c r="D780" s="8">
        <f>CHOOSE( CONTROL!$C$32, 22.9594, 22.9571) * CHOOSE( CONTROL!$C$15, $D$11, 100%, $F$11)</f>
        <v>22.959399999999999</v>
      </c>
      <c r="E780" s="12">
        <f>CHOOSE( CONTROL!$C$32, 22.9454, 22.9431) * CHOOSE( CONTROL!$C$15, $D$11, 100%, $F$11)</f>
        <v>22.945399999999999</v>
      </c>
      <c r="F780" s="4">
        <f>CHOOSE( CONTROL!$C$32, 23.6435, 23.6412) * CHOOSE(CONTROL!$C$15, $D$11, 100%, $F$11)</f>
        <v>23.6435</v>
      </c>
      <c r="G780" s="8">
        <f>CHOOSE( CONTROL!$C$32, 22.3994, 22.3971) * CHOOSE( CONTROL!$C$15, $D$11, 100%, $F$11)</f>
        <v>22.3994</v>
      </c>
      <c r="H780" s="4">
        <f>CHOOSE( CONTROL!$C$32, 23.3503, 23.3481) * CHOOSE(CONTROL!$C$15, $D$11, 100%, $F$11)</f>
        <v>23.350300000000001</v>
      </c>
      <c r="I780" s="8">
        <f>CHOOSE( CONTROL!$C$32, 22.1116, 22.1094) * CHOOSE(CONTROL!$C$15, $D$11, 100%, $F$11)</f>
        <v>22.111599999999999</v>
      </c>
      <c r="J780" s="4">
        <f>CHOOSE( CONTROL!$C$32, 21.9859, 21.9837) * CHOOSE(CONTROL!$C$15, $D$11, 100%, $F$11)</f>
        <v>21.985900000000001</v>
      </c>
      <c r="K780" s="4"/>
      <c r="L780" s="9">
        <v>30.7165</v>
      </c>
      <c r="M780" s="9">
        <v>12.063700000000001</v>
      </c>
      <c r="N780" s="9">
        <v>4.9444999999999997</v>
      </c>
      <c r="O780" s="9">
        <v>0.37409999999999999</v>
      </c>
      <c r="P780" s="9">
        <v>1.2183999999999999</v>
      </c>
      <c r="Q780" s="9">
        <v>19.688099999999999</v>
      </c>
      <c r="R780" s="9"/>
      <c r="S780" s="11"/>
    </row>
    <row r="781" spans="1:19" ht="15.75">
      <c r="A781" s="13">
        <v>65288</v>
      </c>
      <c r="B781" s="8">
        <f>CHOOSE( CONTROL!$C$32, 22.4349, 22.4326) * CHOOSE(CONTROL!$C$15, $D$11, 100%, $F$11)</f>
        <v>22.434899999999999</v>
      </c>
      <c r="C781" s="8">
        <f>CHOOSE( CONTROL!$C$32, 22.4455, 22.4432) * CHOOSE(CONTROL!$C$15, $D$11, 100%, $F$11)</f>
        <v>22.445499999999999</v>
      </c>
      <c r="D781" s="8">
        <f>CHOOSE( CONTROL!$C$32, 22.4797, 22.4774) * CHOOSE( CONTROL!$C$15, $D$11, 100%, $F$11)</f>
        <v>22.479700000000001</v>
      </c>
      <c r="E781" s="12">
        <f>CHOOSE( CONTROL!$C$32, 22.4657, 22.4634) * CHOOSE( CONTROL!$C$15, $D$11, 100%, $F$11)</f>
        <v>22.465699999999998</v>
      </c>
      <c r="F781" s="4">
        <f>CHOOSE( CONTROL!$C$32, 23.1638, 23.1615) * CHOOSE(CONTROL!$C$15, $D$11, 100%, $F$11)</f>
        <v>23.163799999999998</v>
      </c>
      <c r="G781" s="8">
        <f>CHOOSE( CONTROL!$C$32, 21.9304, 21.9282) * CHOOSE( CONTROL!$C$15, $D$11, 100%, $F$11)</f>
        <v>21.930399999999999</v>
      </c>
      <c r="H781" s="4">
        <f>CHOOSE( CONTROL!$C$32, 22.8814, 22.8791) * CHOOSE(CONTROL!$C$15, $D$11, 100%, $F$11)</f>
        <v>22.881399999999999</v>
      </c>
      <c r="I781" s="8">
        <f>CHOOSE( CONTROL!$C$32, 21.6508, 21.6485) * CHOOSE(CONTROL!$C$15, $D$11, 100%, $F$11)</f>
        <v>21.6508</v>
      </c>
      <c r="J781" s="4">
        <f>CHOOSE( CONTROL!$C$32, 21.5254, 21.5232) * CHOOSE(CONTROL!$C$15, $D$11, 100%, $F$11)</f>
        <v>21.525400000000001</v>
      </c>
      <c r="K781" s="4"/>
      <c r="L781" s="9">
        <v>29.7257</v>
      </c>
      <c r="M781" s="9">
        <v>11.6745</v>
      </c>
      <c r="N781" s="9">
        <v>4.7850000000000001</v>
      </c>
      <c r="O781" s="9">
        <v>0.36199999999999999</v>
      </c>
      <c r="P781" s="9">
        <v>1.1791</v>
      </c>
      <c r="Q781" s="9">
        <v>19.053000000000001</v>
      </c>
      <c r="R781" s="9"/>
      <c r="S781" s="11"/>
    </row>
    <row r="782" spans="1:19" ht="15.75">
      <c r="A782" s="13">
        <v>65319</v>
      </c>
      <c r="B782" s="8">
        <f>23.4286 * CHOOSE(CONTROL!$C$15, $D$11, 100%, $F$11)</f>
        <v>23.428599999999999</v>
      </c>
      <c r="C782" s="8">
        <f>23.4393 * CHOOSE(CONTROL!$C$15, $D$11, 100%, $F$11)</f>
        <v>23.439299999999999</v>
      </c>
      <c r="D782" s="8">
        <f>23.4747 * CHOOSE( CONTROL!$C$15, $D$11, 100%, $F$11)</f>
        <v>23.474699999999999</v>
      </c>
      <c r="E782" s="12">
        <f>23.4619 * CHOOSE( CONTROL!$C$15, $D$11, 100%, $F$11)</f>
        <v>23.4619</v>
      </c>
      <c r="F782" s="4">
        <f>24.1574 * CHOOSE(CONTROL!$C$15, $D$11, 100%, $F$11)</f>
        <v>24.157399999999999</v>
      </c>
      <c r="G782" s="8">
        <f>22.9016 * CHOOSE( CONTROL!$C$15, $D$11, 100%, $F$11)</f>
        <v>22.901599999999998</v>
      </c>
      <c r="H782" s="4">
        <f>23.8528 * CHOOSE(CONTROL!$C$15, $D$11, 100%, $F$11)</f>
        <v>23.852799999999998</v>
      </c>
      <c r="I782" s="8">
        <f>22.606 * CHOOSE(CONTROL!$C$15, $D$11, 100%, $F$11)</f>
        <v>22.606000000000002</v>
      </c>
      <c r="J782" s="4">
        <f>22.4793 * CHOOSE(CONTROL!$C$15, $D$11, 100%, $F$11)</f>
        <v>22.479299999999999</v>
      </c>
      <c r="K782" s="4"/>
      <c r="L782" s="9">
        <v>31.095300000000002</v>
      </c>
      <c r="M782" s="9">
        <v>12.063700000000001</v>
      </c>
      <c r="N782" s="9">
        <v>4.9444999999999997</v>
      </c>
      <c r="O782" s="9">
        <v>0.37409999999999999</v>
      </c>
      <c r="P782" s="9">
        <v>1.2183999999999999</v>
      </c>
      <c r="Q782" s="9">
        <v>19.688099999999999</v>
      </c>
      <c r="R782" s="9"/>
      <c r="S782" s="11"/>
    </row>
    <row r="783" spans="1:19" ht="15.75">
      <c r="A783" s="13">
        <v>65349</v>
      </c>
      <c r="B783" s="8">
        <f>25.2668 * CHOOSE(CONTROL!$C$15, $D$11, 100%, $F$11)</f>
        <v>25.2668</v>
      </c>
      <c r="C783" s="8">
        <f>25.2776 * CHOOSE(CONTROL!$C$15, $D$11, 100%, $F$11)</f>
        <v>25.2776</v>
      </c>
      <c r="D783" s="8">
        <f>25.2536 * CHOOSE( CONTROL!$C$15, $D$11, 100%, $F$11)</f>
        <v>25.253599999999999</v>
      </c>
      <c r="E783" s="12">
        <f>25.2612 * CHOOSE( CONTROL!$C$15, $D$11, 100%, $F$11)</f>
        <v>25.261199999999999</v>
      </c>
      <c r="F783" s="4">
        <f>25.9279 * CHOOSE(CONTROL!$C$15, $D$11, 100%, $F$11)</f>
        <v>25.927900000000001</v>
      </c>
      <c r="G783" s="8">
        <f>24.6988 * CHOOSE( CONTROL!$C$15, $D$11, 100%, $F$11)</f>
        <v>24.698799999999999</v>
      </c>
      <c r="H783" s="4">
        <f>25.5838 * CHOOSE(CONTROL!$C$15, $D$11, 100%, $F$11)</f>
        <v>25.5838</v>
      </c>
      <c r="I783" s="8">
        <f>24.4151 * CHOOSE(CONTROL!$C$15, $D$11, 100%, $F$11)</f>
        <v>24.415099999999999</v>
      </c>
      <c r="J783" s="4">
        <f>24.2442 * CHOOSE(CONTROL!$C$15, $D$11, 100%, $F$11)</f>
        <v>24.244199999999999</v>
      </c>
      <c r="K783" s="4"/>
      <c r="L783" s="9">
        <v>28.360600000000002</v>
      </c>
      <c r="M783" s="9">
        <v>11.6745</v>
      </c>
      <c r="N783" s="9">
        <v>4.7850000000000001</v>
      </c>
      <c r="O783" s="9">
        <v>0.36199999999999999</v>
      </c>
      <c r="P783" s="9">
        <v>1.2509999999999999</v>
      </c>
      <c r="Q783" s="9">
        <v>19.053000000000001</v>
      </c>
      <c r="R783" s="9"/>
      <c r="S783" s="11"/>
    </row>
    <row r="784" spans="1:19" ht="15.75">
      <c r="A784" s="13">
        <v>65380</v>
      </c>
      <c r="B784" s="8">
        <f>25.2209 * CHOOSE(CONTROL!$C$15, $D$11, 100%, $F$11)</f>
        <v>25.2209</v>
      </c>
      <c r="C784" s="8">
        <f>25.2316 * CHOOSE(CONTROL!$C$15, $D$11, 100%, $F$11)</f>
        <v>25.2316</v>
      </c>
      <c r="D784" s="8">
        <f>25.2094 * CHOOSE( CONTROL!$C$15, $D$11, 100%, $F$11)</f>
        <v>25.209399999999999</v>
      </c>
      <c r="E784" s="12">
        <f>25.2164 * CHOOSE( CONTROL!$C$15, $D$11, 100%, $F$11)</f>
        <v>25.2164</v>
      </c>
      <c r="F784" s="4">
        <f>25.882 * CHOOSE(CONTROL!$C$15, $D$11, 100%, $F$11)</f>
        <v>25.882000000000001</v>
      </c>
      <c r="G784" s="8">
        <f>24.6551 * CHOOSE( CONTROL!$C$15, $D$11, 100%, $F$11)</f>
        <v>24.655100000000001</v>
      </c>
      <c r="H784" s="4">
        <f>25.5389 * CHOOSE(CONTROL!$C$15, $D$11, 100%, $F$11)</f>
        <v>25.538900000000002</v>
      </c>
      <c r="I784" s="8">
        <f>24.3762 * CHOOSE(CONTROL!$C$15, $D$11, 100%, $F$11)</f>
        <v>24.376200000000001</v>
      </c>
      <c r="J784" s="4">
        <f>24.2001 * CHOOSE(CONTROL!$C$15, $D$11, 100%, $F$11)</f>
        <v>24.200099999999999</v>
      </c>
      <c r="K784" s="4"/>
      <c r="L784" s="9">
        <v>29.306000000000001</v>
      </c>
      <c r="M784" s="9">
        <v>12.063700000000001</v>
      </c>
      <c r="N784" s="9">
        <v>4.9444999999999997</v>
      </c>
      <c r="O784" s="9">
        <v>0.37409999999999999</v>
      </c>
      <c r="P784" s="9">
        <v>1.2927</v>
      </c>
      <c r="Q784" s="9">
        <v>19.688099999999999</v>
      </c>
      <c r="R784" s="9"/>
      <c r="S784" s="11"/>
    </row>
    <row r="785" spans="1:19" ht="15.75">
      <c r="A785" s="13">
        <v>65411</v>
      </c>
      <c r="B785" s="8">
        <f>25.9644 * CHOOSE(CONTROL!$C$15, $D$11, 100%, $F$11)</f>
        <v>25.964400000000001</v>
      </c>
      <c r="C785" s="8">
        <f>25.9751 * CHOOSE(CONTROL!$C$15, $D$11, 100%, $F$11)</f>
        <v>25.975100000000001</v>
      </c>
      <c r="D785" s="8">
        <f>25.9567 * CHOOSE( CONTROL!$C$15, $D$11, 100%, $F$11)</f>
        <v>25.956700000000001</v>
      </c>
      <c r="E785" s="12">
        <f>25.9623 * CHOOSE( CONTROL!$C$15, $D$11, 100%, $F$11)</f>
        <v>25.962299999999999</v>
      </c>
      <c r="F785" s="4">
        <f>26.6255 * CHOOSE(CONTROL!$C$15, $D$11, 100%, $F$11)</f>
        <v>26.625499999999999</v>
      </c>
      <c r="G785" s="8">
        <f>25.3776 * CHOOSE( CONTROL!$C$15, $D$11, 100%, $F$11)</f>
        <v>25.377600000000001</v>
      </c>
      <c r="H785" s="4">
        <f>26.2658 * CHOOSE(CONTROL!$C$15, $D$11, 100%, $F$11)</f>
        <v>26.265799999999999</v>
      </c>
      <c r="I785" s="8">
        <f>25.0457 * CHOOSE(CONTROL!$C$15, $D$11, 100%, $F$11)</f>
        <v>25.0457</v>
      </c>
      <c r="J785" s="4">
        <f>24.9139 * CHOOSE(CONTROL!$C$15, $D$11, 100%, $F$11)</f>
        <v>24.913900000000002</v>
      </c>
      <c r="K785" s="4"/>
      <c r="L785" s="9">
        <v>29.306000000000001</v>
      </c>
      <c r="M785" s="9">
        <v>12.063700000000001</v>
      </c>
      <c r="N785" s="9">
        <v>4.9444999999999997</v>
      </c>
      <c r="O785" s="9">
        <v>0.37409999999999999</v>
      </c>
      <c r="P785" s="9">
        <v>1.2927</v>
      </c>
      <c r="Q785" s="9">
        <v>19.688099999999999</v>
      </c>
      <c r="R785" s="9"/>
      <c r="S785" s="11"/>
    </row>
    <row r="786" spans="1:19" ht="15.75">
      <c r="A786" s="13">
        <v>65439</v>
      </c>
      <c r="B786" s="8">
        <f>24.2868 * CHOOSE(CONTROL!$C$15, $D$11, 100%, $F$11)</f>
        <v>24.286799999999999</v>
      </c>
      <c r="C786" s="8">
        <f>24.2975 * CHOOSE(CONTROL!$C$15, $D$11, 100%, $F$11)</f>
        <v>24.297499999999999</v>
      </c>
      <c r="D786" s="8">
        <f>24.279 * CHOOSE( CONTROL!$C$15, $D$11, 100%, $F$11)</f>
        <v>24.279</v>
      </c>
      <c r="E786" s="12">
        <f>24.2846 * CHOOSE( CONTROL!$C$15, $D$11, 100%, $F$11)</f>
        <v>24.284600000000001</v>
      </c>
      <c r="F786" s="4">
        <f>24.9479 * CHOOSE(CONTROL!$C$15, $D$11, 100%, $F$11)</f>
        <v>24.947900000000001</v>
      </c>
      <c r="G786" s="8">
        <f>23.7374 * CHOOSE( CONTROL!$C$15, $D$11, 100%, $F$11)</f>
        <v>23.737400000000001</v>
      </c>
      <c r="H786" s="4">
        <f>24.6256 * CHOOSE(CONTROL!$C$15, $D$11, 100%, $F$11)</f>
        <v>24.625599999999999</v>
      </c>
      <c r="I786" s="8">
        <f>23.4338 * CHOOSE(CONTROL!$C$15, $D$11, 100%, $F$11)</f>
        <v>23.433800000000002</v>
      </c>
      <c r="J786" s="4">
        <f>23.3033 * CHOOSE(CONTROL!$C$15, $D$11, 100%, $F$11)</f>
        <v>23.3033</v>
      </c>
      <c r="K786" s="4"/>
      <c r="L786" s="9">
        <v>26.469899999999999</v>
      </c>
      <c r="M786" s="9">
        <v>10.8962</v>
      </c>
      <c r="N786" s="9">
        <v>4.4660000000000002</v>
      </c>
      <c r="O786" s="9">
        <v>0.33789999999999998</v>
      </c>
      <c r="P786" s="9">
        <v>1.1676</v>
      </c>
      <c r="Q786" s="9">
        <v>17.782800000000002</v>
      </c>
      <c r="R786" s="9"/>
      <c r="S786" s="11"/>
    </row>
    <row r="787" spans="1:19" ht="15.75">
      <c r="A787" s="13">
        <v>65470</v>
      </c>
      <c r="B787" s="8">
        <f>23.7701 * CHOOSE(CONTROL!$C$15, $D$11, 100%, $F$11)</f>
        <v>23.770099999999999</v>
      </c>
      <c r="C787" s="8">
        <f>23.7808 * CHOOSE(CONTROL!$C$15, $D$11, 100%, $F$11)</f>
        <v>23.780799999999999</v>
      </c>
      <c r="D787" s="8">
        <f>23.7618 * CHOOSE( CONTROL!$C$15, $D$11, 100%, $F$11)</f>
        <v>23.761800000000001</v>
      </c>
      <c r="E787" s="12">
        <f>23.7676 * CHOOSE( CONTROL!$C$15, $D$11, 100%, $F$11)</f>
        <v>23.767600000000002</v>
      </c>
      <c r="F787" s="4">
        <f>24.4312 * CHOOSE(CONTROL!$C$15, $D$11, 100%, $F$11)</f>
        <v>24.4312</v>
      </c>
      <c r="G787" s="8">
        <f>23.2318 * CHOOSE( CONTROL!$C$15, $D$11, 100%, $F$11)</f>
        <v>23.2318</v>
      </c>
      <c r="H787" s="4">
        <f>24.1205 * CHOOSE(CONTROL!$C$15, $D$11, 100%, $F$11)</f>
        <v>24.1205</v>
      </c>
      <c r="I787" s="8">
        <f>22.9359 * CHOOSE(CONTROL!$C$15, $D$11, 100%, $F$11)</f>
        <v>22.9359</v>
      </c>
      <c r="J787" s="4">
        <f>22.8072 * CHOOSE(CONTROL!$C$15, $D$11, 100%, $F$11)</f>
        <v>22.807200000000002</v>
      </c>
      <c r="K787" s="4"/>
      <c r="L787" s="9">
        <v>29.306000000000001</v>
      </c>
      <c r="M787" s="9">
        <v>12.063700000000001</v>
      </c>
      <c r="N787" s="9">
        <v>4.9444999999999997</v>
      </c>
      <c r="O787" s="9">
        <v>0.37409999999999999</v>
      </c>
      <c r="P787" s="9">
        <v>1.2927</v>
      </c>
      <c r="Q787" s="9">
        <v>19.688099999999999</v>
      </c>
      <c r="R787" s="9"/>
      <c r="S787" s="11"/>
    </row>
    <row r="788" spans="1:19" ht="15.75">
      <c r="A788" s="13">
        <v>65500</v>
      </c>
      <c r="B788" s="8">
        <f>24.1311 * CHOOSE(CONTROL!$C$15, $D$11, 100%, $F$11)</f>
        <v>24.1311</v>
      </c>
      <c r="C788" s="8">
        <f>24.1419 * CHOOSE(CONTROL!$C$15, $D$11, 100%, $F$11)</f>
        <v>24.1419</v>
      </c>
      <c r="D788" s="8">
        <f>24.1766 * CHOOSE( CONTROL!$C$15, $D$11, 100%, $F$11)</f>
        <v>24.176600000000001</v>
      </c>
      <c r="E788" s="12">
        <f>24.1639 * CHOOSE( CONTROL!$C$15, $D$11, 100%, $F$11)</f>
        <v>24.163900000000002</v>
      </c>
      <c r="F788" s="4">
        <f>24.8599 * CHOOSE(CONTROL!$C$15, $D$11, 100%, $F$11)</f>
        <v>24.8599</v>
      </c>
      <c r="G788" s="8">
        <f>23.5876 * CHOOSE( CONTROL!$C$15, $D$11, 100%, $F$11)</f>
        <v>23.587599999999998</v>
      </c>
      <c r="H788" s="4">
        <f>24.5397 * CHOOSE(CONTROL!$C$15, $D$11, 100%, $F$11)</f>
        <v>24.5397</v>
      </c>
      <c r="I788" s="8">
        <f>23.278 * CHOOSE(CONTROL!$C$15, $D$11, 100%, $F$11)</f>
        <v>23.277999999999999</v>
      </c>
      <c r="J788" s="4">
        <f>23.1538 * CHOOSE(CONTROL!$C$15, $D$11, 100%, $F$11)</f>
        <v>23.1538</v>
      </c>
      <c r="K788" s="4"/>
      <c r="L788" s="9">
        <v>30.092199999999998</v>
      </c>
      <c r="M788" s="9">
        <v>11.6745</v>
      </c>
      <c r="N788" s="9">
        <v>4.7850000000000001</v>
      </c>
      <c r="O788" s="9">
        <v>0.36199999999999999</v>
      </c>
      <c r="P788" s="9">
        <v>1.1791</v>
      </c>
      <c r="Q788" s="9">
        <v>19.053000000000001</v>
      </c>
      <c r="R788" s="9"/>
      <c r="S788" s="11"/>
    </row>
    <row r="789" spans="1:19" ht="15.75">
      <c r="A789" s="13">
        <v>65531</v>
      </c>
      <c r="B789" s="8">
        <f>CHOOSE( CONTROL!$C$32, 24.7759, 24.7736) * CHOOSE(CONTROL!$C$15, $D$11, 100%, $F$11)</f>
        <v>24.7759</v>
      </c>
      <c r="C789" s="8">
        <f>CHOOSE( CONTROL!$C$32, 24.7865, 24.7842) * CHOOSE(CONTROL!$C$15, $D$11, 100%, $F$11)</f>
        <v>24.7865</v>
      </c>
      <c r="D789" s="8">
        <f>CHOOSE( CONTROL!$C$32, 24.8203, 24.818) * CHOOSE( CONTROL!$C$15, $D$11, 100%, $F$11)</f>
        <v>24.8203</v>
      </c>
      <c r="E789" s="12">
        <f>CHOOSE( CONTROL!$C$32, 24.8064, 24.8041) * CHOOSE( CONTROL!$C$15, $D$11, 100%, $F$11)</f>
        <v>24.8064</v>
      </c>
      <c r="F789" s="4">
        <f>CHOOSE( CONTROL!$C$32, 25.5048, 25.5025) * CHOOSE(CONTROL!$C$15, $D$11, 100%, $F$11)</f>
        <v>25.504799999999999</v>
      </c>
      <c r="G789" s="8">
        <f>CHOOSE( CONTROL!$C$32, 24.2186, 24.2163) * CHOOSE( CONTROL!$C$15, $D$11, 100%, $F$11)</f>
        <v>24.218599999999999</v>
      </c>
      <c r="H789" s="4">
        <f>CHOOSE( CONTROL!$C$32, 25.1702, 25.1679) * CHOOSE(CONTROL!$C$15, $D$11, 100%, $F$11)</f>
        <v>25.170200000000001</v>
      </c>
      <c r="I789" s="8">
        <f>CHOOSE( CONTROL!$C$32, 23.8976, 23.8954) * CHOOSE(CONTROL!$C$15, $D$11, 100%, $F$11)</f>
        <v>23.897600000000001</v>
      </c>
      <c r="J789" s="4">
        <f>CHOOSE( CONTROL!$C$32, 23.773, 23.7708) * CHOOSE(CONTROL!$C$15, $D$11, 100%, $F$11)</f>
        <v>23.773</v>
      </c>
      <c r="K789" s="4"/>
      <c r="L789" s="9">
        <v>30.7165</v>
      </c>
      <c r="M789" s="9">
        <v>12.063700000000001</v>
      </c>
      <c r="N789" s="9">
        <v>4.9444999999999997</v>
      </c>
      <c r="O789" s="9">
        <v>0.37409999999999999</v>
      </c>
      <c r="P789" s="9">
        <v>1.2183999999999999</v>
      </c>
      <c r="Q789" s="9">
        <v>19.688099999999999</v>
      </c>
      <c r="R789" s="9"/>
      <c r="S789" s="11"/>
    </row>
    <row r="790" spans="1:19" ht="15.75">
      <c r="A790" s="13">
        <v>65561</v>
      </c>
      <c r="B790" s="8">
        <f>CHOOSE( CONTROL!$C$32, 24.3778, 24.3755) * CHOOSE(CONTROL!$C$15, $D$11, 100%, $F$11)</f>
        <v>24.377800000000001</v>
      </c>
      <c r="C790" s="8">
        <f>CHOOSE( CONTROL!$C$32, 24.3884, 24.3861) * CHOOSE(CONTROL!$C$15, $D$11, 100%, $F$11)</f>
        <v>24.388400000000001</v>
      </c>
      <c r="D790" s="8">
        <f>CHOOSE( CONTROL!$C$32, 24.4224, 24.4201) * CHOOSE( CONTROL!$C$15, $D$11, 100%, $F$11)</f>
        <v>24.4224</v>
      </c>
      <c r="E790" s="12">
        <f>CHOOSE( CONTROL!$C$32, 24.4085, 24.4062) * CHOOSE( CONTROL!$C$15, $D$11, 100%, $F$11)</f>
        <v>24.4085</v>
      </c>
      <c r="F790" s="4">
        <f>CHOOSE( CONTROL!$C$32, 25.1068, 25.1045) * CHOOSE(CONTROL!$C$15, $D$11, 100%, $F$11)</f>
        <v>25.1068</v>
      </c>
      <c r="G790" s="8">
        <f>CHOOSE( CONTROL!$C$32, 23.8297, 23.8274) * CHOOSE( CONTROL!$C$15, $D$11, 100%, $F$11)</f>
        <v>23.829699999999999</v>
      </c>
      <c r="H790" s="4">
        <f>CHOOSE( CONTROL!$C$32, 24.781, 24.7787) * CHOOSE(CONTROL!$C$15, $D$11, 100%, $F$11)</f>
        <v>24.780999999999999</v>
      </c>
      <c r="I790" s="8">
        <f>CHOOSE( CONTROL!$C$32, 23.516, 23.5138) * CHOOSE(CONTROL!$C$15, $D$11, 100%, $F$11)</f>
        <v>23.515999999999998</v>
      </c>
      <c r="J790" s="4">
        <f>CHOOSE( CONTROL!$C$32, 23.3908, 23.3886) * CHOOSE(CONTROL!$C$15, $D$11, 100%, $F$11)</f>
        <v>23.390799999999999</v>
      </c>
      <c r="K790" s="4"/>
      <c r="L790" s="9">
        <v>29.7257</v>
      </c>
      <c r="M790" s="9">
        <v>11.6745</v>
      </c>
      <c r="N790" s="9">
        <v>4.7850000000000001</v>
      </c>
      <c r="O790" s="9">
        <v>0.36199999999999999</v>
      </c>
      <c r="P790" s="9">
        <v>1.1791</v>
      </c>
      <c r="Q790" s="9">
        <v>19.053000000000001</v>
      </c>
      <c r="R790" s="9"/>
      <c r="S790" s="11"/>
    </row>
    <row r="791" spans="1:19" ht="15.75">
      <c r="A791" s="13">
        <v>65592</v>
      </c>
      <c r="B791" s="8">
        <f>CHOOSE( CONTROL!$C$32, 25.4261, 25.4238) * CHOOSE(CONTROL!$C$15, $D$11, 100%, $F$11)</f>
        <v>25.426100000000002</v>
      </c>
      <c r="C791" s="8">
        <f>CHOOSE( CONTROL!$C$32, 25.4366, 25.4343) * CHOOSE(CONTROL!$C$15, $D$11, 100%, $F$11)</f>
        <v>25.436599999999999</v>
      </c>
      <c r="D791" s="8">
        <f>CHOOSE( CONTROL!$C$32, 25.4708, 25.4685) * CHOOSE( CONTROL!$C$15, $D$11, 100%, $F$11)</f>
        <v>25.470800000000001</v>
      </c>
      <c r="E791" s="12">
        <f>CHOOSE( CONTROL!$C$32, 25.4568, 25.4545) * CHOOSE( CONTROL!$C$15, $D$11, 100%, $F$11)</f>
        <v>25.456800000000001</v>
      </c>
      <c r="F791" s="4">
        <f>CHOOSE( CONTROL!$C$32, 26.155, 26.1527) * CHOOSE(CONTROL!$C$15, $D$11, 100%, $F$11)</f>
        <v>26.155000000000001</v>
      </c>
      <c r="G791" s="8">
        <f>CHOOSE( CONTROL!$C$32, 24.8548, 24.8526) * CHOOSE( CONTROL!$C$15, $D$11, 100%, $F$11)</f>
        <v>24.854800000000001</v>
      </c>
      <c r="H791" s="4">
        <f>CHOOSE( CONTROL!$C$32, 25.8059, 25.8036) * CHOOSE(CONTROL!$C$15, $D$11, 100%, $F$11)</f>
        <v>25.805900000000001</v>
      </c>
      <c r="I791" s="8">
        <f>CHOOSE( CONTROL!$C$32, 24.5239, 24.5217) * CHOOSE(CONTROL!$C$15, $D$11, 100%, $F$11)</f>
        <v>24.523900000000001</v>
      </c>
      <c r="J791" s="4">
        <f>CHOOSE( CONTROL!$C$32, 24.3972, 24.395) * CHOOSE(CONTROL!$C$15, $D$11, 100%, $F$11)</f>
        <v>24.397200000000002</v>
      </c>
      <c r="K791" s="4"/>
      <c r="L791" s="9">
        <v>30.7165</v>
      </c>
      <c r="M791" s="9">
        <v>12.063700000000001</v>
      </c>
      <c r="N791" s="9">
        <v>4.9444999999999997</v>
      </c>
      <c r="O791" s="9">
        <v>0.37409999999999999</v>
      </c>
      <c r="P791" s="9">
        <v>1.2183999999999999</v>
      </c>
      <c r="Q791" s="9">
        <v>19.688099999999999</v>
      </c>
      <c r="R791" s="9"/>
      <c r="S791" s="11"/>
    </row>
    <row r="792" spans="1:19" ht="15.75">
      <c r="A792" s="13">
        <v>65623</v>
      </c>
      <c r="B792" s="8">
        <f>CHOOSE( CONTROL!$C$32, 23.4647, 23.4624) * CHOOSE(CONTROL!$C$15, $D$11, 100%, $F$11)</f>
        <v>23.464700000000001</v>
      </c>
      <c r="C792" s="8">
        <f>CHOOSE( CONTROL!$C$32, 23.4753, 23.473) * CHOOSE(CONTROL!$C$15, $D$11, 100%, $F$11)</f>
        <v>23.475300000000001</v>
      </c>
      <c r="D792" s="8">
        <f>CHOOSE( CONTROL!$C$32, 23.5095, 23.5072) * CHOOSE( CONTROL!$C$15, $D$11, 100%, $F$11)</f>
        <v>23.509499999999999</v>
      </c>
      <c r="E792" s="12">
        <f>CHOOSE( CONTROL!$C$32, 23.4955, 23.4932) * CHOOSE( CONTROL!$C$15, $D$11, 100%, $F$11)</f>
        <v>23.4955</v>
      </c>
      <c r="F792" s="4">
        <f>CHOOSE( CONTROL!$C$32, 24.1936, 24.1913) * CHOOSE(CONTROL!$C$15, $D$11, 100%, $F$11)</f>
        <v>24.1936</v>
      </c>
      <c r="G792" s="8">
        <f>CHOOSE( CONTROL!$C$32, 22.9373, 22.935) * CHOOSE( CONTROL!$C$15, $D$11, 100%, $F$11)</f>
        <v>22.9373</v>
      </c>
      <c r="H792" s="4">
        <f>CHOOSE( CONTROL!$C$32, 23.8882, 23.886) * CHOOSE(CONTROL!$C$15, $D$11, 100%, $F$11)</f>
        <v>23.888200000000001</v>
      </c>
      <c r="I792" s="8">
        <f>CHOOSE( CONTROL!$C$32, 22.6401, 22.6379) * CHOOSE(CONTROL!$C$15, $D$11, 100%, $F$11)</f>
        <v>22.6401</v>
      </c>
      <c r="J792" s="4">
        <f>CHOOSE( CONTROL!$C$32, 22.5141, 22.5119) * CHOOSE(CONTROL!$C$15, $D$11, 100%, $F$11)</f>
        <v>22.514099999999999</v>
      </c>
      <c r="K792" s="4"/>
      <c r="L792" s="9">
        <v>30.7165</v>
      </c>
      <c r="M792" s="9">
        <v>12.063700000000001</v>
      </c>
      <c r="N792" s="9">
        <v>4.9444999999999997</v>
      </c>
      <c r="O792" s="9">
        <v>0.37409999999999999</v>
      </c>
      <c r="P792" s="9">
        <v>1.2183999999999999</v>
      </c>
      <c r="Q792" s="9">
        <v>19.688099999999999</v>
      </c>
      <c r="R792" s="9"/>
      <c r="S792" s="11"/>
    </row>
    <row r="793" spans="1:19" ht="15.75">
      <c r="A793" s="13">
        <v>65653</v>
      </c>
      <c r="B793" s="8">
        <f>CHOOSE( CONTROL!$C$32, 22.9735, 22.9712) * CHOOSE(CONTROL!$C$15, $D$11, 100%, $F$11)</f>
        <v>22.973500000000001</v>
      </c>
      <c r="C793" s="8">
        <f>CHOOSE( CONTROL!$C$32, 22.9841, 22.9818) * CHOOSE(CONTROL!$C$15, $D$11, 100%, $F$11)</f>
        <v>22.984100000000002</v>
      </c>
      <c r="D793" s="8">
        <f>CHOOSE( CONTROL!$C$32, 23.0183, 23.016) * CHOOSE( CONTROL!$C$15, $D$11, 100%, $F$11)</f>
        <v>23.0183</v>
      </c>
      <c r="E793" s="12">
        <f>CHOOSE( CONTROL!$C$32, 23.0043, 23.002) * CHOOSE( CONTROL!$C$15, $D$11, 100%, $F$11)</f>
        <v>23.004300000000001</v>
      </c>
      <c r="F793" s="4">
        <f>CHOOSE( CONTROL!$C$32, 23.7025, 23.7002) * CHOOSE(CONTROL!$C$15, $D$11, 100%, $F$11)</f>
        <v>23.702500000000001</v>
      </c>
      <c r="G793" s="8">
        <f>CHOOSE( CONTROL!$C$32, 22.457, 22.4548) * CHOOSE( CONTROL!$C$15, $D$11, 100%, $F$11)</f>
        <v>22.457000000000001</v>
      </c>
      <c r="H793" s="4">
        <f>CHOOSE( CONTROL!$C$32, 23.408, 23.4058) * CHOOSE(CONTROL!$C$15, $D$11, 100%, $F$11)</f>
        <v>23.408000000000001</v>
      </c>
      <c r="I793" s="8">
        <f>CHOOSE( CONTROL!$C$32, 22.1682, 22.1659) * CHOOSE(CONTROL!$C$15, $D$11, 100%, $F$11)</f>
        <v>22.168199999999999</v>
      </c>
      <c r="J793" s="4">
        <f>CHOOSE( CONTROL!$C$32, 22.0426, 22.0404) * CHOOSE(CONTROL!$C$15, $D$11, 100%, $F$11)</f>
        <v>22.0426</v>
      </c>
      <c r="K793" s="4"/>
      <c r="L793" s="9">
        <v>29.7257</v>
      </c>
      <c r="M793" s="9">
        <v>11.6745</v>
      </c>
      <c r="N793" s="9">
        <v>4.7850000000000001</v>
      </c>
      <c r="O793" s="9">
        <v>0.36199999999999999</v>
      </c>
      <c r="P793" s="9">
        <v>1.1791</v>
      </c>
      <c r="Q793" s="9">
        <v>19.053000000000001</v>
      </c>
      <c r="R793" s="9"/>
      <c r="S793" s="11"/>
    </row>
    <row r="794" spans="1:19" ht="15.75">
      <c r="A794" s="13">
        <v>65684</v>
      </c>
      <c r="B794" s="8">
        <f>23.9912 * CHOOSE(CONTROL!$C$15, $D$11, 100%, $F$11)</f>
        <v>23.991199999999999</v>
      </c>
      <c r="C794" s="8">
        <f>24.0019 * CHOOSE(CONTROL!$C$15, $D$11, 100%, $F$11)</f>
        <v>24.001899999999999</v>
      </c>
      <c r="D794" s="8">
        <f>24.0373 * CHOOSE( CONTROL!$C$15, $D$11, 100%, $F$11)</f>
        <v>24.037299999999998</v>
      </c>
      <c r="E794" s="12">
        <f>24.0245 * CHOOSE( CONTROL!$C$15, $D$11, 100%, $F$11)</f>
        <v>24.0245</v>
      </c>
      <c r="F794" s="4">
        <f>24.72 * CHOOSE(CONTROL!$C$15, $D$11, 100%, $F$11)</f>
        <v>24.72</v>
      </c>
      <c r="G794" s="8">
        <f>23.4517 * CHOOSE( CONTROL!$C$15, $D$11, 100%, $F$11)</f>
        <v>23.451699999999999</v>
      </c>
      <c r="H794" s="4">
        <f>24.4028 * CHOOSE(CONTROL!$C$15, $D$11, 100%, $F$11)</f>
        <v>24.402799999999999</v>
      </c>
      <c r="I794" s="8">
        <f>23.1464 * CHOOSE(CONTROL!$C$15, $D$11, 100%, $F$11)</f>
        <v>23.1464</v>
      </c>
      <c r="J794" s="4">
        <f>23.0195 * CHOOSE(CONTROL!$C$15, $D$11, 100%, $F$11)</f>
        <v>23.019500000000001</v>
      </c>
      <c r="K794" s="4"/>
      <c r="L794" s="9">
        <v>31.095300000000002</v>
      </c>
      <c r="M794" s="9">
        <v>12.063700000000001</v>
      </c>
      <c r="N794" s="9">
        <v>4.9444999999999997</v>
      </c>
      <c r="O794" s="9">
        <v>0.37409999999999999</v>
      </c>
      <c r="P794" s="9">
        <v>1.2183999999999999</v>
      </c>
      <c r="Q794" s="9">
        <v>19.688099999999999</v>
      </c>
      <c r="R794" s="9"/>
      <c r="S794" s="11"/>
    </row>
    <row r="795" spans="1:19" ht="15.75">
      <c r="A795" s="13">
        <v>65714</v>
      </c>
      <c r="B795" s="8">
        <f>25.8735 * CHOOSE(CONTROL!$C$15, $D$11, 100%, $F$11)</f>
        <v>25.8735</v>
      </c>
      <c r="C795" s="8">
        <f>25.8843 * CHOOSE(CONTROL!$C$15, $D$11, 100%, $F$11)</f>
        <v>25.8843</v>
      </c>
      <c r="D795" s="8">
        <f>25.8603 * CHOOSE( CONTROL!$C$15, $D$11, 100%, $F$11)</f>
        <v>25.860299999999999</v>
      </c>
      <c r="E795" s="12">
        <f>25.8679 * CHOOSE( CONTROL!$C$15, $D$11, 100%, $F$11)</f>
        <v>25.867899999999999</v>
      </c>
      <c r="F795" s="4">
        <f>26.5346 * CHOOSE(CONTROL!$C$15, $D$11, 100%, $F$11)</f>
        <v>26.534600000000001</v>
      </c>
      <c r="G795" s="8">
        <f>25.292 * CHOOSE( CONTROL!$C$15, $D$11, 100%, $F$11)</f>
        <v>25.292000000000002</v>
      </c>
      <c r="H795" s="4">
        <f>26.177 * CHOOSE(CONTROL!$C$15, $D$11, 100%, $F$11)</f>
        <v>26.177</v>
      </c>
      <c r="I795" s="8">
        <f>24.9979 * CHOOSE(CONTROL!$C$15, $D$11, 100%, $F$11)</f>
        <v>24.997900000000001</v>
      </c>
      <c r="J795" s="4">
        <f>24.8267 * CHOOSE(CONTROL!$C$15, $D$11, 100%, $F$11)</f>
        <v>24.826699999999999</v>
      </c>
      <c r="K795" s="4"/>
      <c r="L795" s="9">
        <v>28.360600000000002</v>
      </c>
      <c r="M795" s="9">
        <v>11.6745</v>
      </c>
      <c r="N795" s="9">
        <v>4.7850000000000001</v>
      </c>
      <c r="O795" s="9">
        <v>0.36199999999999999</v>
      </c>
      <c r="P795" s="9">
        <v>1.2509999999999999</v>
      </c>
      <c r="Q795" s="9">
        <v>19.053000000000001</v>
      </c>
      <c r="R795" s="9"/>
      <c r="S795" s="11"/>
    </row>
    <row r="796" spans="1:19" ht="15.75">
      <c r="A796" s="13">
        <v>65745</v>
      </c>
      <c r="B796" s="8">
        <f>25.8265 * CHOOSE(CONTROL!$C$15, $D$11, 100%, $F$11)</f>
        <v>25.826499999999999</v>
      </c>
      <c r="C796" s="8">
        <f>25.8373 * CHOOSE(CONTROL!$C$15, $D$11, 100%, $F$11)</f>
        <v>25.837299999999999</v>
      </c>
      <c r="D796" s="8">
        <f>25.815 * CHOOSE( CONTROL!$C$15, $D$11, 100%, $F$11)</f>
        <v>25.815000000000001</v>
      </c>
      <c r="E796" s="12">
        <f>25.822 * CHOOSE( CONTROL!$C$15, $D$11, 100%, $F$11)</f>
        <v>25.821999999999999</v>
      </c>
      <c r="F796" s="4">
        <f>26.4876 * CHOOSE(CONTROL!$C$15, $D$11, 100%, $F$11)</f>
        <v>26.4876</v>
      </c>
      <c r="G796" s="8">
        <f>25.2473 * CHOOSE( CONTROL!$C$15, $D$11, 100%, $F$11)</f>
        <v>25.247299999999999</v>
      </c>
      <c r="H796" s="4">
        <f>26.131 * CHOOSE(CONTROL!$C$15, $D$11, 100%, $F$11)</f>
        <v>26.131</v>
      </c>
      <c r="I796" s="8">
        <f>24.9579 * CHOOSE(CONTROL!$C$15, $D$11, 100%, $F$11)</f>
        <v>24.957899999999999</v>
      </c>
      <c r="J796" s="4">
        <f>24.7816 * CHOOSE(CONTROL!$C$15, $D$11, 100%, $F$11)</f>
        <v>24.781600000000001</v>
      </c>
      <c r="K796" s="4"/>
      <c r="L796" s="9">
        <v>29.306000000000001</v>
      </c>
      <c r="M796" s="9">
        <v>12.063700000000001</v>
      </c>
      <c r="N796" s="9">
        <v>4.9444999999999997</v>
      </c>
      <c r="O796" s="9">
        <v>0.37409999999999999</v>
      </c>
      <c r="P796" s="9">
        <v>1.2927</v>
      </c>
      <c r="Q796" s="9">
        <v>19.688099999999999</v>
      </c>
      <c r="R796" s="9"/>
      <c r="S796" s="11"/>
    </row>
    <row r="797" spans="1:19" ht="15.75">
      <c r="A797" s="13">
        <v>65776</v>
      </c>
      <c r="B797" s="8">
        <f>26.5878 * CHOOSE(CONTROL!$C$15, $D$11, 100%, $F$11)</f>
        <v>26.587800000000001</v>
      </c>
      <c r="C797" s="8">
        <f>26.5986 * CHOOSE(CONTROL!$C$15, $D$11, 100%, $F$11)</f>
        <v>26.598600000000001</v>
      </c>
      <c r="D797" s="8">
        <f>26.5802 * CHOOSE( CONTROL!$C$15, $D$11, 100%, $F$11)</f>
        <v>26.580200000000001</v>
      </c>
      <c r="E797" s="12">
        <f>26.5858 * CHOOSE( CONTROL!$C$15, $D$11, 100%, $F$11)</f>
        <v>26.585799999999999</v>
      </c>
      <c r="F797" s="4">
        <f>27.249 * CHOOSE(CONTROL!$C$15, $D$11, 100%, $F$11)</f>
        <v>27.248999999999999</v>
      </c>
      <c r="G797" s="8">
        <f>25.9872 * CHOOSE( CONTROL!$C$15, $D$11, 100%, $F$11)</f>
        <v>25.987200000000001</v>
      </c>
      <c r="H797" s="4">
        <f>26.8754 * CHOOSE(CONTROL!$C$15, $D$11, 100%, $F$11)</f>
        <v>26.875399999999999</v>
      </c>
      <c r="I797" s="8">
        <f>25.6446 * CHOOSE(CONTROL!$C$15, $D$11, 100%, $F$11)</f>
        <v>25.644600000000001</v>
      </c>
      <c r="J797" s="4">
        <f>25.5125 * CHOOSE(CONTROL!$C$15, $D$11, 100%, $F$11)</f>
        <v>25.512499999999999</v>
      </c>
      <c r="K797" s="4"/>
      <c r="L797" s="9">
        <v>29.306000000000001</v>
      </c>
      <c r="M797" s="9">
        <v>12.063700000000001</v>
      </c>
      <c r="N797" s="9">
        <v>4.9444999999999997</v>
      </c>
      <c r="O797" s="9">
        <v>0.37409999999999999</v>
      </c>
      <c r="P797" s="9">
        <v>1.2927</v>
      </c>
      <c r="Q797" s="9">
        <v>19.688099999999999</v>
      </c>
      <c r="R797" s="9"/>
      <c r="S797" s="11"/>
    </row>
    <row r="798" spans="1:19" ht="15.75">
      <c r="A798" s="13">
        <v>65805</v>
      </c>
      <c r="B798" s="8">
        <f>24.87 * CHOOSE(CONTROL!$C$15, $D$11, 100%, $F$11)</f>
        <v>24.87</v>
      </c>
      <c r="C798" s="8">
        <f>24.8807 * CHOOSE(CONTROL!$C$15, $D$11, 100%, $F$11)</f>
        <v>24.880700000000001</v>
      </c>
      <c r="D798" s="8">
        <f>24.8622 * CHOOSE( CONTROL!$C$15, $D$11, 100%, $F$11)</f>
        <v>24.862200000000001</v>
      </c>
      <c r="E798" s="12">
        <f>24.8678 * CHOOSE( CONTROL!$C$15, $D$11, 100%, $F$11)</f>
        <v>24.867799999999999</v>
      </c>
      <c r="F798" s="4">
        <f>25.5311 * CHOOSE(CONTROL!$C$15, $D$11, 100%, $F$11)</f>
        <v>25.531099999999999</v>
      </c>
      <c r="G798" s="8">
        <f>24.3075 * CHOOSE( CONTROL!$C$15, $D$11, 100%, $F$11)</f>
        <v>24.307500000000001</v>
      </c>
      <c r="H798" s="4">
        <f>25.1958 * CHOOSE(CONTROL!$C$15, $D$11, 100%, $F$11)</f>
        <v>25.195799999999998</v>
      </c>
      <c r="I798" s="8">
        <f>23.994 * CHOOSE(CONTROL!$C$15, $D$11, 100%, $F$11)</f>
        <v>23.994</v>
      </c>
      <c r="J798" s="4">
        <f>23.8632 * CHOOSE(CONTROL!$C$15, $D$11, 100%, $F$11)</f>
        <v>23.863199999999999</v>
      </c>
      <c r="K798" s="4"/>
      <c r="L798" s="9">
        <v>27.415299999999998</v>
      </c>
      <c r="M798" s="9">
        <v>11.285299999999999</v>
      </c>
      <c r="N798" s="9">
        <v>4.6254999999999997</v>
      </c>
      <c r="O798" s="9">
        <v>0.34989999999999999</v>
      </c>
      <c r="P798" s="9">
        <v>1.2093</v>
      </c>
      <c r="Q798" s="9">
        <v>18.417899999999999</v>
      </c>
      <c r="R798" s="9"/>
      <c r="S798" s="11"/>
    </row>
    <row r="799" spans="1:19" ht="15.75">
      <c r="A799" s="13">
        <v>65836</v>
      </c>
      <c r="B799" s="8">
        <f>24.3409 * CHOOSE(CONTROL!$C$15, $D$11, 100%, $F$11)</f>
        <v>24.340900000000001</v>
      </c>
      <c r="C799" s="8">
        <f>24.3516 * CHOOSE(CONTROL!$C$15, $D$11, 100%, $F$11)</f>
        <v>24.351600000000001</v>
      </c>
      <c r="D799" s="8">
        <f>24.3326 * CHOOSE( CONTROL!$C$15, $D$11, 100%, $F$11)</f>
        <v>24.332599999999999</v>
      </c>
      <c r="E799" s="12">
        <f>24.3384 * CHOOSE( CONTROL!$C$15, $D$11, 100%, $F$11)</f>
        <v>24.3384</v>
      </c>
      <c r="F799" s="4">
        <f>25.002 * CHOOSE(CONTROL!$C$15, $D$11, 100%, $F$11)</f>
        <v>25.001999999999999</v>
      </c>
      <c r="G799" s="8">
        <f>23.7899 * CHOOSE( CONTROL!$C$15, $D$11, 100%, $F$11)</f>
        <v>23.789899999999999</v>
      </c>
      <c r="H799" s="4">
        <f>24.6785 * CHOOSE(CONTROL!$C$15, $D$11, 100%, $F$11)</f>
        <v>24.6785</v>
      </c>
      <c r="I799" s="8">
        <f>23.4842 * CHOOSE(CONTROL!$C$15, $D$11, 100%, $F$11)</f>
        <v>23.484200000000001</v>
      </c>
      <c r="J799" s="4">
        <f>23.3552 * CHOOSE(CONTROL!$C$15, $D$11, 100%, $F$11)</f>
        <v>23.3552</v>
      </c>
      <c r="K799" s="4"/>
      <c r="L799" s="9">
        <v>29.306000000000001</v>
      </c>
      <c r="M799" s="9">
        <v>12.063700000000001</v>
      </c>
      <c r="N799" s="9">
        <v>4.9444999999999997</v>
      </c>
      <c r="O799" s="9">
        <v>0.37409999999999999</v>
      </c>
      <c r="P799" s="9">
        <v>1.2927</v>
      </c>
      <c r="Q799" s="9">
        <v>19.688099999999999</v>
      </c>
      <c r="R799" s="9"/>
      <c r="S799" s="11"/>
    </row>
    <row r="800" spans="1:19" ht="15.75">
      <c r="A800" s="13">
        <v>65866</v>
      </c>
      <c r="B800" s="8">
        <f>24.7105 * CHOOSE(CONTROL!$C$15, $D$11, 100%, $F$11)</f>
        <v>24.7105</v>
      </c>
      <c r="C800" s="8">
        <f>24.7213 * CHOOSE(CONTROL!$C$15, $D$11, 100%, $F$11)</f>
        <v>24.721299999999999</v>
      </c>
      <c r="D800" s="8">
        <f>24.7561 * CHOOSE( CONTROL!$C$15, $D$11, 100%, $F$11)</f>
        <v>24.7561</v>
      </c>
      <c r="E800" s="12">
        <f>24.7434 * CHOOSE( CONTROL!$C$15, $D$11, 100%, $F$11)</f>
        <v>24.743400000000001</v>
      </c>
      <c r="F800" s="4">
        <f>25.4394 * CHOOSE(CONTROL!$C$15, $D$11, 100%, $F$11)</f>
        <v>25.439399999999999</v>
      </c>
      <c r="G800" s="8">
        <f>24.1541 * CHOOSE( CONTROL!$C$15, $D$11, 100%, $F$11)</f>
        <v>24.1541</v>
      </c>
      <c r="H800" s="4">
        <f>25.1062 * CHOOSE(CONTROL!$C$15, $D$11, 100%, $F$11)</f>
        <v>25.106200000000001</v>
      </c>
      <c r="I800" s="8">
        <f>23.8346 * CHOOSE(CONTROL!$C$15, $D$11, 100%, $F$11)</f>
        <v>23.834599999999998</v>
      </c>
      <c r="J800" s="4">
        <f>23.7102 * CHOOSE(CONTROL!$C$15, $D$11, 100%, $F$11)</f>
        <v>23.7102</v>
      </c>
      <c r="K800" s="4"/>
      <c r="L800" s="9">
        <v>30.092199999999998</v>
      </c>
      <c r="M800" s="9">
        <v>11.6745</v>
      </c>
      <c r="N800" s="9">
        <v>4.7850000000000001</v>
      </c>
      <c r="O800" s="9">
        <v>0.36199999999999999</v>
      </c>
      <c r="P800" s="9">
        <v>1.1791</v>
      </c>
      <c r="Q800" s="9">
        <v>19.053000000000001</v>
      </c>
      <c r="R800" s="9"/>
      <c r="S800" s="11"/>
    </row>
    <row r="801" spans="1:19" ht="15.75">
      <c r="A801" s="13">
        <v>65897</v>
      </c>
      <c r="B801" s="8">
        <f>CHOOSE( CONTROL!$C$32, 25.3708, 25.3685) * CHOOSE(CONTROL!$C$15, $D$11, 100%, $F$11)</f>
        <v>25.370799999999999</v>
      </c>
      <c r="C801" s="8">
        <f>CHOOSE( CONTROL!$C$32, 25.3813, 25.379) * CHOOSE(CONTROL!$C$15, $D$11, 100%, $F$11)</f>
        <v>25.3813</v>
      </c>
      <c r="D801" s="8">
        <f>CHOOSE( CONTROL!$C$32, 25.4152, 25.4129) * CHOOSE( CONTROL!$C$15, $D$11, 100%, $F$11)</f>
        <v>25.415199999999999</v>
      </c>
      <c r="E801" s="12">
        <f>CHOOSE( CONTROL!$C$32, 25.4013, 25.399) * CHOOSE( CONTROL!$C$15, $D$11, 100%, $F$11)</f>
        <v>25.401299999999999</v>
      </c>
      <c r="F801" s="4">
        <f>CHOOSE( CONTROL!$C$32, 26.0997, 26.0974) * CHOOSE(CONTROL!$C$15, $D$11, 100%, $F$11)</f>
        <v>26.099699999999999</v>
      </c>
      <c r="G801" s="8">
        <f>CHOOSE( CONTROL!$C$32, 24.8002, 24.798) * CHOOSE( CONTROL!$C$15, $D$11, 100%, $F$11)</f>
        <v>24.8002</v>
      </c>
      <c r="H801" s="4">
        <f>CHOOSE( CONTROL!$C$32, 25.7518, 25.7495) * CHOOSE(CONTROL!$C$15, $D$11, 100%, $F$11)</f>
        <v>25.751799999999999</v>
      </c>
      <c r="I801" s="8">
        <f>CHOOSE( CONTROL!$C$32, 24.469, 24.4668) * CHOOSE(CONTROL!$C$15, $D$11, 100%, $F$11)</f>
        <v>24.469000000000001</v>
      </c>
      <c r="J801" s="4">
        <f>CHOOSE( CONTROL!$C$32, 24.3442, 24.3419) * CHOOSE(CONTROL!$C$15, $D$11, 100%, $F$11)</f>
        <v>24.344200000000001</v>
      </c>
      <c r="K801" s="4"/>
      <c r="L801" s="9">
        <v>30.7165</v>
      </c>
      <c r="M801" s="9">
        <v>12.063700000000001</v>
      </c>
      <c r="N801" s="9">
        <v>4.9444999999999997</v>
      </c>
      <c r="O801" s="9">
        <v>0.37409999999999999</v>
      </c>
      <c r="P801" s="9">
        <v>1.2183999999999999</v>
      </c>
      <c r="Q801" s="9">
        <v>19.688099999999999</v>
      </c>
      <c r="R801" s="9"/>
      <c r="S801" s="11"/>
    </row>
    <row r="802" spans="1:19" ht="15.75">
      <c r="A802" s="13">
        <v>65927</v>
      </c>
      <c r="B802" s="8">
        <f>CHOOSE( CONTROL!$C$32, 24.9631, 24.9608) * CHOOSE(CONTROL!$C$15, $D$11, 100%, $F$11)</f>
        <v>24.963100000000001</v>
      </c>
      <c r="C802" s="8">
        <f>CHOOSE( CONTROL!$C$32, 24.9737, 24.9714) * CHOOSE(CONTROL!$C$15, $D$11, 100%, $F$11)</f>
        <v>24.973700000000001</v>
      </c>
      <c r="D802" s="8">
        <f>CHOOSE( CONTROL!$C$32, 25.0077, 25.0054) * CHOOSE( CONTROL!$C$15, $D$11, 100%, $F$11)</f>
        <v>25.0077</v>
      </c>
      <c r="E802" s="12">
        <f>CHOOSE( CONTROL!$C$32, 24.9938, 24.9915) * CHOOSE( CONTROL!$C$15, $D$11, 100%, $F$11)</f>
        <v>24.9938</v>
      </c>
      <c r="F802" s="4">
        <f>CHOOSE( CONTROL!$C$32, 25.6921, 25.6898) * CHOOSE(CONTROL!$C$15, $D$11, 100%, $F$11)</f>
        <v>25.6921</v>
      </c>
      <c r="G802" s="8">
        <f>CHOOSE( CONTROL!$C$32, 24.4019, 24.3997) * CHOOSE( CONTROL!$C$15, $D$11, 100%, $F$11)</f>
        <v>24.401900000000001</v>
      </c>
      <c r="H802" s="4">
        <f>CHOOSE( CONTROL!$C$32, 25.3533, 25.351) * CHOOSE(CONTROL!$C$15, $D$11, 100%, $F$11)</f>
        <v>25.353300000000001</v>
      </c>
      <c r="I802" s="8">
        <f>CHOOSE( CONTROL!$C$32, 24.0782, 24.076) * CHOOSE(CONTROL!$C$15, $D$11, 100%, $F$11)</f>
        <v>24.078199999999999</v>
      </c>
      <c r="J802" s="4">
        <f>CHOOSE( CONTROL!$C$32, 23.9528, 23.9506) * CHOOSE(CONTROL!$C$15, $D$11, 100%, $F$11)</f>
        <v>23.9528</v>
      </c>
      <c r="K802" s="4"/>
      <c r="L802" s="9">
        <v>29.7257</v>
      </c>
      <c r="M802" s="9">
        <v>11.6745</v>
      </c>
      <c r="N802" s="9">
        <v>4.7850000000000001</v>
      </c>
      <c r="O802" s="9">
        <v>0.36199999999999999</v>
      </c>
      <c r="P802" s="9">
        <v>1.1791</v>
      </c>
      <c r="Q802" s="9">
        <v>19.053000000000001</v>
      </c>
      <c r="R802" s="9"/>
      <c r="S802" s="11"/>
    </row>
    <row r="803" spans="1:19" ht="15.75">
      <c r="A803" s="13">
        <v>65958</v>
      </c>
      <c r="B803" s="8">
        <f>CHOOSE( CONTROL!$C$32, 26.0366, 26.0343) * CHOOSE(CONTROL!$C$15, $D$11, 100%, $F$11)</f>
        <v>26.0366</v>
      </c>
      <c r="C803" s="8">
        <f>CHOOSE( CONTROL!$C$32, 26.0471, 26.0448) * CHOOSE(CONTROL!$C$15, $D$11, 100%, $F$11)</f>
        <v>26.0471</v>
      </c>
      <c r="D803" s="8">
        <f>CHOOSE( CONTROL!$C$32, 26.0814, 26.0791) * CHOOSE( CONTROL!$C$15, $D$11, 100%, $F$11)</f>
        <v>26.081399999999999</v>
      </c>
      <c r="E803" s="12">
        <f>CHOOSE( CONTROL!$C$32, 26.0674, 26.0651) * CHOOSE( CONTROL!$C$15, $D$11, 100%, $F$11)</f>
        <v>26.067399999999999</v>
      </c>
      <c r="F803" s="4">
        <f>CHOOSE( CONTROL!$C$32, 26.7655, 26.7632) * CHOOSE(CONTROL!$C$15, $D$11, 100%, $F$11)</f>
        <v>26.765499999999999</v>
      </c>
      <c r="G803" s="8">
        <f>CHOOSE( CONTROL!$C$32, 25.4517, 25.4495) * CHOOSE( CONTROL!$C$15, $D$11, 100%, $F$11)</f>
        <v>25.451699999999999</v>
      </c>
      <c r="H803" s="4">
        <f>CHOOSE( CONTROL!$C$32, 26.4028, 26.4005) * CHOOSE(CONTROL!$C$15, $D$11, 100%, $F$11)</f>
        <v>26.402799999999999</v>
      </c>
      <c r="I803" s="8">
        <f>CHOOSE( CONTROL!$C$32, 25.1103, 25.1081) * CHOOSE(CONTROL!$C$15, $D$11, 100%, $F$11)</f>
        <v>25.110299999999999</v>
      </c>
      <c r="J803" s="4">
        <f>CHOOSE( CONTROL!$C$32, 24.9834, 24.9812) * CHOOSE(CONTROL!$C$15, $D$11, 100%, $F$11)</f>
        <v>24.9834</v>
      </c>
      <c r="K803" s="4"/>
      <c r="L803" s="9">
        <v>30.7165</v>
      </c>
      <c r="M803" s="9">
        <v>12.063700000000001</v>
      </c>
      <c r="N803" s="9">
        <v>4.9444999999999997</v>
      </c>
      <c r="O803" s="9">
        <v>0.37409999999999999</v>
      </c>
      <c r="P803" s="9">
        <v>1.2183999999999999</v>
      </c>
      <c r="Q803" s="9">
        <v>19.688099999999999</v>
      </c>
      <c r="R803" s="9"/>
      <c r="S803" s="11"/>
    </row>
    <row r="804" spans="1:19" ht="15.75">
      <c r="A804" s="13">
        <v>65989</v>
      </c>
      <c r="B804" s="8">
        <f>CHOOSE( CONTROL!$C$32, 24.0281, 24.0258) * CHOOSE(CONTROL!$C$15, $D$11, 100%, $F$11)</f>
        <v>24.028099999999998</v>
      </c>
      <c r="C804" s="8">
        <f>CHOOSE( CONTROL!$C$32, 24.0386, 24.0363) * CHOOSE(CONTROL!$C$15, $D$11, 100%, $F$11)</f>
        <v>24.038599999999999</v>
      </c>
      <c r="D804" s="8">
        <f>CHOOSE( CONTROL!$C$32, 24.0729, 24.0706) * CHOOSE( CONTROL!$C$15, $D$11, 100%, $F$11)</f>
        <v>24.072900000000001</v>
      </c>
      <c r="E804" s="12">
        <f>CHOOSE( CONTROL!$C$32, 24.0589, 24.0566) * CHOOSE( CONTROL!$C$15, $D$11, 100%, $F$11)</f>
        <v>24.058900000000001</v>
      </c>
      <c r="F804" s="4">
        <f>CHOOSE( CONTROL!$C$32, 24.757, 24.7547) * CHOOSE(CONTROL!$C$15, $D$11, 100%, $F$11)</f>
        <v>24.757000000000001</v>
      </c>
      <c r="G804" s="8">
        <f>CHOOSE( CONTROL!$C$32, 23.4881, 23.4859) * CHOOSE( CONTROL!$C$15, $D$11, 100%, $F$11)</f>
        <v>23.488099999999999</v>
      </c>
      <c r="H804" s="4">
        <f>CHOOSE( CONTROL!$C$32, 24.439, 24.4368) * CHOOSE(CONTROL!$C$15, $D$11, 100%, $F$11)</f>
        <v>24.439</v>
      </c>
      <c r="I804" s="8">
        <f>CHOOSE( CONTROL!$C$32, 23.1813, 23.1791) * CHOOSE(CONTROL!$C$15, $D$11, 100%, $F$11)</f>
        <v>23.1813</v>
      </c>
      <c r="J804" s="4">
        <f>CHOOSE( CONTROL!$C$32, 23.055, 23.0528) * CHOOSE(CONTROL!$C$15, $D$11, 100%, $F$11)</f>
        <v>23.055</v>
      </c>
      <c r="K804" s="4"/>
      <c r="L804" s="9">
        <v>30.7165</v>
      </c>
      <c r="M804" s="9">
        <v>12.063700000000001</v>
      </c>
      <c r="N804" s="9">
        <v>4.9444999999999997</v>
      </c>
      <c r="O804" s="9">
        <v>0.37409999999999999</v>
      </c>
      <c r="P804" s="9">
        <v>1.2183999999999999</v>
      </c>
      <c r="Q804" s="9">
        <v>19.688099999999999</v>
      </c>
      <c r="R804" s="9"/>
      <c r="S804" s="11"/>
    </row>
    <row r="805" spans="1:19" ht="15.75">
      <c r="A805" s="13">
        <v>66019</v>
      </c>
      <c r="B805" s="8">
        <f>CHOOSE( CONTROL!$C$32, 23.5251, 23.5228) * CHOOSE(CONTROL!$C$15, $D$11, 100%, $F$11)</f>
        <v>23.525099999999998</v>
      </c>
      <c r="C805" s="8">
        <f>CHOOSE( CONTROL!$C$32, 23.5357, 23.5334) * CHOOSE(CONTROL!$C$15, $D$11, 100%, $F$11)</f>
        <v>23.535699999999999</v>
      </c>
      <c r="D805" s="8">
        <f>CHOOSE( CONTROL!$C$32, 23.5699, 23.5676) * CHOOSE( CONTROL!$C$15, $D$11, 100%, $F$11)</f>
        <v>23.569900000000001</v>
      </c>
      <c r="E805" s="12">
        <f>CHOOSE( CONTROL!$C$32, 23.5559, 23.5536) * CHOOSE( CONTROL!$C$15, $D$11, 100%, $F$11)</f>
        <v>23.555900000000001</v>
      </c>
      <c r="F805" s="4">
        <f>CHOOSE( CONTROL!$C$32, 24.2541, 24.2518) * CHOOSE(CONTROL!$C$15, $D$11, 100%, $F$11)</f>
        <v>24.254100000000001</v>
      </c>
      <c r="G805" s="8">
        <f>CHOOSE( CONTROL!$C$32, 22.9963, 22.9941) * CHOOSE( CONTROL!$C$15, $D$11, 100%, $F$11)</f>
        <v>22.996300000000002</v>
      </c>
      <c r="H805" s="4">
        <f>CHOOSE( CONTROL!$C$32, 23.9473, 23.9451) * CHOOSE(CONTROL!$C$15, $D$11, 100%, $F$11)</f>
        <v>23.947299999999998</v>
      </c>
      <c r="I805" s="8">
        <f>CHOOSE( CONTROL!$C$32, 22.698, 22.6958) * CHOOSE(CONTROL!$C$15, $D$11, 100%, $F$11)</f>
        <v>22.698</v>
      </c>
      <c r="J805" s="4">
        <f>CHOOSE( CONTROL!$C$32, 22.5721, 22.5699) * CHOOSE(CONTROL!$C$15, $D$11, 100%, $F$11)</f>
        <v>22.572099999999999</v>
      </c>
      <c r="K805" s="4"/>
      <c r="L805" s="9">
        <v>29.7257</v>
      </c>
      <c r="M805" s="9">
        <v>11.6745</v>
      </c>
      <c r="N805" s="9">
        <v>4.7850000000000001</v>
      </c>
      <c r="O805" s="9">
        <v>0.36199999999999999</v>
      </c>
      <c r="P805" s="9">
        <v>1.1791</v>
      </c>
      <c r="Q805" s="9">
        <v>19.053000000000001</v>
      </c>
      <c r="R805" s="9"/>
      <c r="S805" s="11"/>
    </row>
    <row r="806" spans="1:19" ht="15.75">
      <c r="A806" s="13">
        <v>66050</v>
      </c>
      <c r="B806" s="8">
        <f>24.5672 * CHOOSE(CONTROL!$C$15, $D$11, 100%, $F$11)</f>
        <v>24.5672</v>
      </c>
      <c r="C806" s="8">
        <f>24.578 * CHOOSE(CONTROL!$C$15, $D$11, 100%, $F$11)</f>
        <v>24.577999999999999</v>
      </c>
      <c r="D806" s="8">
        <f>24.6134 * CHOOSE( CONTROL!$C$15, $D$11, 100%, $F$11)</f>
        <v>24.613399999999999</v>
      </c>
      <c r="E806" s="12">
        <f>24.6006 * CHOOSE( CONTROL!$C$15, $D$11, 100%, $F$11)</f>
        <v>24.6006</v>
      </c>
      <c r="F806" s="4">
        <f>25.2961 * CHOOSE(CONTROL!$C$15, $D$11, 100%, $F$11)</f>
        <v>25.296099999999999</v>
      </c>
      <c r="G806" s="8">
        <f>24.0149 * CHOOSE( CONTROL!$C$15, $D$11, 100%, $F$11)</f>
        <v>24.014900000000001</v>
      </c>
      <c r="H806" s="4">
        <f>24.9661 * CHOOSE(CONTROL!$C$15, $D$11, 100%, $F$11)</f>
        <v>24.966100000000001</v>
      </c>
      <c r="I806" s="8">
        <f>23.6998 * CHOOSE(CONTROL!$C$15, $D$11, 100%, $F$11)</f>
        <v>23.6998</v>
      </c>
      <c r="J806" s="4">
        <f>23.5726 * CHOOSE(CONTROL!$C$15, $D$11, 100%, $F$11)</f>
        <v>23.572600000000001</v>
      </c>
      <c r="K806" s="4"/>
      <c r="L806" s="9">
        <v>31.095300000000002</v>
      </c>
      <c r="M806" s="9">
        <v>12.063700000000001</v>
      </c>
      <c r="N806" s="9">
        <v>4.9444999999999997</v>
      </c>
      <c r="O806" s="9">
        <v>0.37409999999999999</v>
      </c>
      <c r="P806" s="9">
        <v>1.2183999999999999</v>
      </c>
      <c r="Q806" s="9">
        <v>19.688099999999999</v>
      </c>
      <c r="R806" s="9"/>
      <c r="S806" s="11"/>
    </row>
    <row r="807" spans="1:19" ht="15.75">
      <c r="A807" s="13">
        <v>66080</v>
      </c>
      <c r="B807" s="8">
        <f>26.4948 * CHOOSE(CONTROL!$C$15, $D$11, 100%, $F$11)</f>
        <v>26.494800000000001</v>
      </c>
      <c r="C807" s="8">
        <f>26.5056 * CHOOSE(CONTROL!$C$15, $D$11, 100%, $F$11)</f>
        <v>26.505600000000001</v>
      </c>
      <c r="D807" s="8">
        <f>26.4816 * CHOOSE( CONTROL!$C$15, $D$11, 100%, $F$11)</f>
        <v>26.4816</v>
      </c>
      <c r="E807" s="12">
        <f>26.4892 * CHOOSE( CONTROL!$C$15, $D$11, 100%, $F$11)</f>
        <v>26.4892</v>
      </c>
      <c r="F807" s="4">
        <f>27.1559 * CHOOSE(CONTROL!$C$15, $D$11, 100%, $F$11)</f>
        <v>27.155899999999999</v>
      </c>
      <c r="G807" s="8">
        <f>25.8995 * CHOOSE( CONTROL!$C$15, $D$11, 100%, $F$11)</f>
        <v>25.8995</v>
      </c>
      <c r="H807" s="4">
        <f>26.7845 * CHOOSE(CONTROL!$C$15, $D$11, 100%, $F$11)</f>
        <v>26.784500000000001</v>
      </c>
      <c r="I807" s="8">
        <f>25.5947 * CHOOSE(CONTROL!$C$15, $D$11, 100%, $F$11)</f>
        <v>25.5947</v>
      </c>
      <c r="J807" s="4">
        <f>25.4232 * CHOOSE(CONTROL!$C$15, $D$11, 100%, $F$11)</f>
        <v>25.423200000000001</v>
      </c>
      <c r="K807" s="4"/>
      <c r="L807" s="9">
        <v>28.360600000000002</v>
      </c>
      <c r="M807" s="9">
        <v>11.6745</v>
      </c>
      <c r="N807" s="9">
        <v>4.7850000000000001</v>
      </c>
      <c r="O807" s="9">
        <v>0.36199999999999999</v>
      </c>
      <c r="P807" s="9">
        <v>1.2509999999999999</v>
      </c>
      <c r="Q807" s="9">
        <v>19.053000000000001</v>
      </c>
      <c r="R807" s="9"/>
      <c r="S807" s="11"/>
    </row>
    <row r="808" spans="1:19" ht="15.75">
      <c r="A808" s="13">
        <v>66111</v>
      </c>
      <c r="B808" s="8">
        <f>26.4467 * CHOOSE(CONTROL!$C$15, $D$11, 100%, $F$11)</f>
        <v>26.4467</v>
      </c>
      <c r="C808" s="8">
        <f>26.4574 * CHOOSE(CONTROL!$C$15, $D$11, 100%, $F$11)</f>
        <v>26.4574</v>
      </c>
      <c r="D808" s="8">
        <f>26.4352 * CHOOSE( CONTROL!$C$15, $D$11, 100%, $F$11)</f>
        <v>26.435199999999998</v>
      </c>
      <c r="E808" s="12">
        <f>26.4422 * CHOOSE( CONTROL!$C$15, $D$11, 100%, $F$11)</f>
        <v>26.4422</v>
      </c>
      <c r="F808" s="4">
        <f>27.1078 * CHOOSE(CONTROL!$C$15, $D$11, 100%, $F$11)</f>
        <v>27.107800000000001</v>
      </c>
      <c r="G808" s="8">
        <f>25.8536 * CHOOSE( CONTROL!$C$15, $D$11, 100%, $F$11)</f>
        <v>25.8536</v>
      </c>
      <c r="H808" s="4">
        <f>26.7374 * CHOOSE(CONTROL!$C$15, $D$11, 100%, $F$11)</f>
        <v>26.737400000000001</v>
      </c>
      <c r="I808" s="8">
        <f>25.5537 * CHOOSE(CONTROL!$C$15, $D$11, 100%, $F$11)</f>
        <v>25.553699999999999</v>
      </c>
      <c r="J808" s="4">
        <f>25.377 * CHOOSE(CONTROL!$C$15, $D$11, 100%, $F$11)</f>
        <v>25.376999999999999</v>
      </c>
      <c r="K808" s="4"/>
      <c r="L808" s="9">
        <v>29.306000000000001</v>
      </c>
      <c r="M808" s="9">
        <v>12.063700000000001</v>
      </c>
      <c r="N808" s="9">
        <v>4.9444999999999997</v>
      </c>
      <c r="O808" s="9">
        <v>0.37409999999999999</v>
      </c>
      <c r="P808" s="9">
        <v>1.2927</v>
      </c>
      <c r="Q808" s="9">
        <v>19.688099999999999</v>
      </c>
      <c r="R808" s="9"/>
      <c r="S808" s="11"/>
    </row>
    <row r="809" spans="1:19" ht="15.75">
      <c r="A809" s="13">
        <v>66142</v>
      </c>
      <c r="B809" s="8">
        <f>27.2263 * CHOOSE(CONTROL!$C$15, $D$11, 100%, $F$11)</f>
        <v>27.226299999999998</v>
      </c>
      <c r="C809" s="8">
        <f>27.2371 * CHOOSE(CONTROL!$C$15, $D$11, 100%, $F$11)</f>
        <v>27.237100000000002</v>
      </c>
      <c r="D809" s="8">
        <f>27.2187 * CHOOSE( CONTROL!$C$15, $D$11, 100%, $F$11)</f>
        <v>27.218699999999998</v>
      </c>
      <c r="E809" s="12">
        <f>27.2243 * CHOOSE( CONTROL!$C$15, $D$11, 100%, $F$11)</f>
        <v>27.224299999999999</v>
      </c>
      <c r="F809" s="4">
        <f>27.8874 * CHOOSE(CONTROL!$C$15, $D$11, 100%, $F$11)</f>
        <v>27.8874</v>
      </c>
      <c r="G809" s="8">
        <f>26.6115 * CHOOSE( CONTROL!$C$15, $D$11, 100%, $F$11)</f>
        <v>26.611499999999999</v>
      </c>
      <c r="H809" s="4">
        <f>27.4996 * CHOOSE(CONTROL!$C$15, $D$11, 100%, $F$11)</f>
        <v>27.499600000000001</v>
      </c>
      <c r="I809" s="8">
        <f>26.2579 * CHOOSE(CONTROL!$C$15, $D$11, 100%, $F$11)</f>
        <v>26.257899999999999</v>
      </c>
      <c r="J809" s="4">
        <f>26.1255 * CHOOSE(CONTROL!$C$15, $D$11, 100%, $F$11)</f>
        <v>26.125499999999999</v>
      </c>
      <c r="K809" s="4"/>
      <c r="L809" s="9">
        <v>29.306000000000001</v>
      </c>
      <c r="M809" s="9">
        <v>12.063700000000001</v>
      </c>
      <c r="N809" s="9">
        <v>4.9444999999999997</v>
      </c>
      <c r="O809" s="9">
        <v>0.37409999999999999</v>
      </c>
      <c r="P809" s="9">
        <v>1.2927</v>
      </c>
      <c r="Q809" s="9">
        <v>19.688099999999999</v>
      </c>
      <c r="R809" s="9"/>
      <c r="S809" s="11"/>
    </row>
    <row r="810" spans="1:19" ht="15.75">
      <c r="A810" s="13">
        <v>66170</v>
      </c>
      <c r="B810" s="8">
        <f>25.4672 * CHOOSE(CONTROL!$C$15, $D$11, 100%, $F$11)</f>
        <v>25.467199999999998</v>
      </c>
      <c r="C810" s="8">
        <f>25.4779 * CHOOSE(CONTROL!$C$15, $D$11, 100%, $F$11)</f>
        <v>25.477900000000002</v>
      </c>
      <c r="D810" s="8">
        <f>25.4594 * CHOOSE( CONTROL!$C$15, $D$11, 100%, $F$11)</f>
        <v>25.459399999999999</v>
      </c>
      <c r="E810" s="12">
        <f>25.465 * CHOOSE( CONTROL!$C$15, $D$11, 100%, $F$11)</f>
        <v>25.465</v>
      </c>
      <c r="F810" s="4">
        <f>26.1283 * CHOOSE(CONTROL!$C$15, $D$11, 100%, $F$11)</f>
        <v>26.128299999999999</v>
      </c>
      <c r="G810" s="8">
        <f>24.8914 * CHOOSE( CONTROL!$C$15, $D$11, 100%, $F$11)</f>
        <v>24.891400000000001</v>
      </c>
      <c r="H810" s="4">
        <f>25.7797 * CHOOSE(CONTROL!$C$15, $D$11, 100%, $F$11)</f>
        <v>25.779699999999998</v>
      </c>
      <c r="I810" s="8">
        <f>24.5676 * CHOOSE(CONTROL!$C$15, $D$11, 100%, $F$11)</f>
        <v>24.567599999999999</v>
      </c>
      <c r="J810" s="4">
        <f>24.4366 * CHOOSE(CONTROL!$C$15, $D$11, 100%, $F$11)</f>
        <v>24.436599999999999</v>
      </c>
      <c r="K810" s="4"/>
      <c r="L810" s="9">
        <v>26.469899999999999</v>
      </c>
      <c r="M810" s="9">
        <v>10.8962</v>
      </c>
      <c r="N810" s="9">
        <v>4.4660000000000002</v>
      </c>
      <c r="O810" s="9">
        <v>0.33789999999999998</v>
      </c>
      <c r="P810" s="9">
        <v>1.1676</v>
      </c>
      <c r="Q810" s="9">
        <v>17.782800000000002</v>
      </c>
      <c r="R810" s="9"/>
      <c r="S810" s="11"/>
    </row>
    <row r="811" spans="1:19" ht="15.75">
      <c r="A811" s="13">
        <v>66201</v>
      </c>
      <c r="B811" s="8">
        <f>24.9253 * CHOOSE(CONTROL!$C$15, $D$11, 100%, $F$11)</f>
        <v>24.9253</v>
      </c>
      <c r="C811" s="8">
        <f>24.9361 * CHOOSE(CONTROL!$C$15, $D$11, 100%, $F$11)</f>
        <v>24.9361</v>
      </c>
      <c r="D811" s="8">
        <f>24.9171 * CHOOSE( CONTROL!$C$15, $D$11, 100%, $F$11)</f>
        <v>24.917100000000001</v>
      </c>
      <c r="E811" s="12">
        <f>24.9229 * CHOOSE( CONTROL!$C$15, $D$11, 100%, $F$11)</f>
        <v>24.922899999999998</v>
      </c>
      <c r="F811" s="4">
        <f>25.5865 * CHOOSE(CONTROL!$C$15, $D$11, 100%, $F$11)</f>
        <v>25.586500000000001</v>
      </c>
      <c r="G811" s="8">
        <f>24.3613 * CHOOSE( CONTROL!$C$15, $D$11, 100%, $F$11)</f>
        <v>24.3613</v>
      </c>
      <c r="H811" s="4">
        <f>25.25 * CHOOSE(CONTROL!$C$15, $D$11, 100%, $F$11)</f>
        <v>25.25</v>
      </c>
      <c r="I811" s="8">
        <f>24.0457 * CHOOSE(CONTROL!$C$15, $D$11, 100%, $F$11)</f>
        <v>24.0457</v>
      </c>
      <c r="J811" s="4">
        <f>23.9164 * CHOOSE(CONTROL!$C$15, $D$11, 100%, $F$11)</f>
        <v>23.916399999999999</v>
      </c>
      <c r="K811" s="4"/>
      <c r="L811" s="9">
        <v>29.306000000000001</v>
      </c>
      <c r="M811" s="9">
        <v>12.063700000000001</v>
      </c>
      <c r="N811" s="9">
        <v>4.9444999999999997</v>
      </c>
      <c r="O811" s="9">
        <v>0.37409999999999999</v>
      </c>
      <c r="P811" s="9">
        <v>1.2927</v>
      </c>
      <c r="Q811" s="9">
        <v>19.688099999999999</v>
      </c>
      <c r="R811" s="9"/>
      <c r="S811" s="11"/>
    </row>
    <row r="812" spans="1:19" ht="15.75">
      <c r="A812" s="13">
        <v>66231</v>
      </c>
      <c r="B812" s="8">
        <f>25.3039 * CHOOSE(CONTROL!$C$15, $D$11, 100%, $F$11)</f>
        <v>25.303899999999999</v>
      </c>
      <c r="C812" s="8">
        <f>25.3147 * CHOOSE(CONTROL!$C$15, $D$11, 100%, $F$11)</f>
        <v>25.314699999999998</v>
      </c>
      <c r="D812" s="8">
        <f>25.3495 * CHOOSE( CONTROL!$C$15, $D$11, 100%, $F$11)</f>
        <v>25.349499999999999</v>
      </c>
      <c r="E812" s="12">
        <f>25.3368 * CHOOSE( CONTROL!$C$15, $D$11, 100%, $F$11)</f>
        <v>25.3368</v>
      </c>
      <c r="F812" s="4">
        <f>26.0328 * CHOOSE(CONTROL!$C$15, $D$11, 100%, $F$11)</f>
        <v>26.032800000000002</v>
      </c>
      <c r="G812" s="8">
        <f>24.7343 * CHOOSE( CONTROL!$C$15, $D$11, 100%, $F$11)</f>
        <v>24.734300000000001</v>
      </c>
      <c r="H812" s="4">
        <f>25.6863 * CHOOSE(CONTROL!$C$15, $D$11, 100%, $F$11)</f>
        <v>25.686299999999999</v>
      </c>
      <c r="I812" s="8">
        <f>24.4046 * CHOOSE(CONTROL!$C$15, $D$11, 100%, $F$11)</f>
        <v>24.404599999999999</v>
      </c>
      <c r="J812" s="4">
        <f>24.2799 * CHOOSE(CONTROL!$C$15, $D$11, 100%, $F$11)</f>
        <v>24.279900000000001</v>
      </c>
      <c r="K812" s="4"/>
      <c r="L812" s="9">
        <v>30.092199999999998</v>
      </c>
      <c r="M812" s="9">
        <v>11.6745</v>
      </c>
      <c r="N812" s="9">
        <v>4.7850000000000001</v>
      </c>
      <c r="O812" s="9">
        <v>0.36199999999999999</v>
      </c>
      <c r="P812" s="9">
        <v>1.1791</v>
      </c>
      <c r="Q812" s="9">
        <v>19.053000000000001</v>
      </c>
      <c r="R812" s="9"/>
      <c r="S812" s="11"/>
    </row>
    <row r="813" spans="1:19" ht="15.75">
      <c r="A813" s="13">
        <v>66262</v>
      </c>
      <c r="B813" s="8">
        <f>CHOOSE( CONTROL!$C$32, 25.98, 25.9777) * CHOOSE(CONTROL!$C$15, $D$11, 100%, $F$11)</f>
        <v>25.98</v>
      </c>
      <c r="C813" s="8">
        <f>CHOOSE( CONTROL!$C$32, 25.9905, 25.9882) * CHOOSE(CONTROL!$C$15, $D$11, 100%, $F$11)</f>
        <v>25.990500000000001</v>
      </c>
      <c r="D813" s="8">
        <f>CHOOSE( CONTROL!$C$32, 26.0244, 26.0221) * CHOOSE( CONTROL!$C$15, $D$11, 100%, $F$11)</f>
        <v>26.0244</v>
      </c>
      <c r="E813" s="12">
        <f>CHOOSE( CONTROL!$C$32, 26.0105, 26.0082) * CHOOSE( CONTROL!$C$15, $D$11, 100%, $F$11)</f>
        <v>26.0105</v>
      </c>
      <c r="F813" s="4">
        <f>CHOOSE( CONTROL!$C$32, 26.7089, 26.7066) * CHOOSE(CONTROL!$C$15, $D$11, 100%, $F$11)</f>
        <v>26.7089</v>
      </c>
      <c r="G813" s="8">
        <f>CHOOSE( CONTROL!$C$32, 25.3958, 25.3936) * CHOOSE( CONTROL!$C$15, $D$11, 100%, $F$11)</f>
        <v>25.395800000000001</v>
      </c>
      <c r="H813" s="4">
        <f>CHOOSE( CONTROL!$C$32, 26.3474, 26.3451) * CHOOSE(CONTROL!$C$15, $D$11, 100%, $F$11)</f>
        <v>26.3474</v>
      </c>
      <c r="I813" s="8">
        <f>CHOOSE( CONTROL!$C$32, 25.0542, 25.052) * CHOOSE(CONTROL!$C$15, $D$11, 100%, $F$11)</f>
        <v>25.054200000000002</v>
      </c>
      <c r="J813" s="4">
        <f>CHOOSE( CONTROL!$C$32, 24.929, 24.9268) * CHOOSE(CONTROL!$C$15, $D$11, 100%, $F$11)</f>
        <v>24.928999999999998</v>
      </c>
      <c r="K813" s="4"/>
      <c r="L813" s="9">
        <v>30.7165</v>
      </c>
      <c r="M813" s="9">
        <v>12.063700000000001</v>
      </c>
      <c r="N813" s="9">
        <v>4.9444999999999997</v>
      </c>
      <c r="O813" s="9">
        <v>0.37409999999999999</v>
      </c>
      <c r="P813" s="9">
        <v>1.2183999999999999</v>
      </c>
      <c r="Q813" s="9">
        <v>19.688099999999999</v>
      </c>
      <c r="R813" s="9"/>
      <c r="S813" s="11"/>
    </row>
    <row r="814" spans="1:19" ht="15.75">
      <c r="A814" s="13">
        <v>66292</v>
      </c>
      <c r="B814" s="8">
        <f>CHOOSE( CONTROL!$C$32, 25.5625, 25.5602) * CHOOSE(CONTROL!$C$15, $D$11, 100%, $F$11)</f>
        <v>25.5625</v>
      </c>
      <c r="C814" s="8">
        <f>CHOOSE( CONTROL!$C$32, 25.5731, 25.5708) * CHOOSE(CONTROL!$C$15, $D$11, 100%, $F$11)</f>
        <v>25.5731</v>
      </c>
      <c r="D814" s="8">
        <f>CHOOSE( CONTROL!$C$32, 25.6071, 25.6048) * CHOOSE( CONTROL!$C$15, $D$11, 100%, $F$11)</f>
        <v>25.607099999999999</v>
      </c>
      <c r="E814" s="12">
        <f>CHOOSE( CONTROL!$C$32, 25.5932, 25.5909) * CHOOSE( CONTROL!$C$15, $D$11, 100%, $F$11)</f>
        <v>25.5932</v>
      </c>
      <c r="F814" s="4">
        <f>CHOOSE( CONTROL!$C$32, 26.2915, 26.2892) * CHOOSE(CONTROL!$C$15, $D$11, 100%, $F$11)</f>
        <v>26.291499999999999</v>
      </c>
      <c r="G814" s="8">
        <f>CHOOSE( CONTROL!$C$32, 24.9879, 24.9857) * CHOOSE( CONTROL!$C$15, $D$11, 100%, $F$11)</f>
        <v>24.9879</v>
      </c>
      <c r="H814" s="4">
        <f>CHOOSE( CONTROL!$C$32, 25.9393, 25.937) * CHOOSE(CONTROL!$C$15, $D$11, 100%, $F$11)</f>
        <v>25.939299999999999</v>
      </c>
      <c r="I814" s="8">
        <f>CHOOSE( CONTROL!$C$32, 24.654, 24.6518) * CHOOSE(CONTROL!$C$15, $D$11, 100%, $F$11)</f>
        <v>24.654</v>
      </c>
      <c r="J814" s="4">
        <f>CHOOSE( CONTROL!$C$32, 24.5283, 24.5261) * CHOOSE(CONTROL!$C$15, $D$11, 100%, $F$11)</f>
        <v>24.528300000000002</v>
      </c>
      <c r="K814" s="4"/>
      <c r="L814" s="9">
        <v>29.7257</v>
      </c>
      <c r="M814" s="9">
        <v>11.6745</v>
      </c>
      <c r="N814" s="9">
        <v>4.7850000000000001</v>
      </c>
      <c r="O814" s="9">
        <v>0.36199999999999999</v>
      </c>
      <c r="P814" s="9">
        <v>1.1791</v>
      </c>
      <c r="Q814" s="9">
        <v>19.053000000000001</v>
      </c>
      <c r="R814" s="9"/>
      <c r="S814" s="11"/>
    </row>
    <row r="815" spans="1:19" ht="15.75">
      <c r="A815" s="13">
        <v>66323</v>
      </c>
      <c r="B815" s="8">
        <f>CHOOSE( CONTROL!$C$32, 26.6618, 26.6595) * CHOOSE(CONTROL!$C$15, $D$11, 100%, $F$11)</f>
        <v>26.661799999999999</v>
      </c>
      <c r="C815" s="8">
        <f>CHOOSE( CONTROL!$C$32, 26.6723, 26.67) * CHOOSE(CONTROL!$C$15, $D$11, 100%, $F$11)</f>
        <v>26.6723</v>
      </c>
      <c r="D815" s="8">
        <f>CHOOSE( CONTROL!$C$32, 26.7065, 26.7042) * CHOOSE( CONTROL!$C$15, $D$11, 100%, $F$11)</f>
        <v>26.706499999999998</v>
      </c>
      <c r="E815" s="12">
        <f>CHOOSE( CONTROL!$C$32, 26.6925, 26.6902) * CHOOSE( CONTROL!$C$15, $D$11, 100%, $F$11)</f>
        <v>26.692499999999999</v>
      </c>
      <c r="F815" s="4">
        <f>CHOOSE( CONTROL!$C$32, 27.3907, 27.3884) * CHOOSE(CONTROL!$C$15, $D$11, 100%, $F$11)</f>
        <v>27.390699999999999</v>
      </c>
      <c r="G815" s="8">
        <f>CHOOSE( CONTROL!$C$32, 26.063, 26.0607) * CHOOSE( CONTROL!$C$15, $D$11, 100%, $F$11)</f>
        <v>26.062999999999999</v>
      </c>
      <c r="H815" s="4">
        <f>CHOOSE( CONTROL!$C$32, 27.014, 27.0117) * CHOOSE(CONTROL!$C$15, $D$11, 100%, $F$11)</f>
        <v>27.013999999999999</v>
      </c>
      <c r="I815" s="8">
        <f>CHOOSE( CONTROL!$C$32, 25.7108, 25.7086) * CHOOSE(CONTROL!$C$15, $D$11, 100%, $F$11)</f>
        <v>25.710799999999999</v>
      </c>
      <c r="J815" s="4">
        <f>CHOOSE( CONTROL!$C$32, 25.5836, 25.5814) * CHOOSE(CONTROL!$C$15, $D$11, 100%, $F$11)</f>
        <v>25.583600000000001</v>
      </c>
      <c r="K815" s="4"/>
      <c r="L815" s="9">
        <v>30.7165</v>
      </c>
      <c r="M815" s="9">
        <v>12.063700000000001</v>
      </c>
      <c r="N815" s="9">
        <v>4.9444999999999997</v>
      </c>
      <c r="O815" s="9">
        <v>0.37409999999999999</v>
      </c>
      <c r="P815" s="9">
        <v>1.2183999999999999</v>
      </c>
      <c r="Q815" s="9">
        <v>19.688099999999999</v>
      </c>
      <c r="R815" s="9"/>
      <c r="S815" s="11"/>
    </row>
    <row r="816" spans="1:19" ht="15.75">
      <c r="A816" s="13">
        <v>66354</v>
      </c>
      <c r="B816" s="8">
        <f>CHOOSE( CONTROL!$C$32, 24.605, 24.6027) * CHOOSE(CONTROL!$C$15, $D$11, 100%, $F$11)</f>
        <v>24.605</v>
      </c>
      <c r="C816" s="8">
        <f>CHOOSE( CONTROL!$C$32, 24.6156, 24.6133) * CHOOSE(CONTROL!$C$15, $D$11, 100%, $F$11)</f>
        <v>24.615600000000001</v>
      </c>
      <c r="D816" s="8">
        <f>CHOOSE( CONTROL!$C$32, 24.6498, 24.6475) * CHOOSE( CONTROL!$C$15, $D$11, 100%, $F$11)</f>
        <v>24.649799999999999</v>
      </c>
      <c r="E816" s="12">
        <f>CHOOSE( CONTROL!$C$32, 24.6358, 24.6335) * CHOOSE( CONTROL!$C$15, $D$11, 100%, $F$11)</f>
        <v>24.6358</v>
      </c>
      <c r="F816" s="4">
        <f>CHOOSE( CONTROL!$C$32, 25.3339, 25.3316) * CHOOSE(CONTROL!$C$15, $D$11, 100%, $F$11)</f>
        <v>25.3339</v>
      </c>
      <c r="G816" s="8">
        <f>CHOOSE( CONTROL!$C$32, 24.0522, 24.0499) * CHOOSE( CONTROL!$C$15, $D$11, 100%, $F$11)</f>
        <v>24.052199999999999</v>
      </c>
      <c r="H816" s="4">
        <f>CHOOSE( CONTROL!$C$32, 25.0031, 25.0008) * CHOOSE(CONTROL!$C$15, $D$11, 100%, $F$11)</f>
        <v>25.0031</v>
      </c>
      <c r="I816" s="8">
        <f>CHOOSE( CONTROL!$C$32, 23.7354, 23.7332) * CHOOSE(CONTROL!$C$15, $D$11, 100%, $F$11)</f>
        <v>23.735399999999998</v>
      </c>
      <c r="J816" s="4">
        <f>CHOOSE( CONTROL!$C$32, 23.6089, 23.6067) * CHOOSE(CONTROL!$C$15, $D$11, 100%, $F$11)</f>
        <v>23.608899999999998</v>
      </c>
      <c r="K816" s="4"/>
      <c r="L816" s="9">
        <v>30.7165</v>
      </c>
      <c r="M816" s="9">
        <v>12.063700000000001</v>
      </c>
      <c r="N816" s="9">
        <v>4.9444999999999997</v>
      </c>
      <c r="O816" s="9">
        <v>0.37409999999999999</v>
      </c>
      <c r="P816" s="9">
        <v>1.2183999999999999</v>
      </c>
      <c r="Q816" s="9">
        <v>19.688099999999999</v>
      </c>
      <c r="R816" s="9"/>
      <c r="S816" s="11"/>
    </row>
    <row r="817" spans="1:19" ht="15.75">
      <c r="A817" s="13">
        <v>66384</v>
      </c>
      <c r="B817" s="8">
        <f>CHOOSE( CONTROL!$C$32, 24.09, 24.0877) * CHOOSE(CONTROL!$C$15, $D$11, 100%, $F$11)</f>
        <v>24.09</v>
      </c>
      <c r="C817" s="8">
        <f>CHOOSE( CONTROL!$C$32, 24.1005, 24.0982) * CHOOSE(CONTROL!$C$15, $D$11, 100%, $F$11)</f>
        <v>24.1005</v>
      </c>
      <c r="D817" s="8">
        <f>CHOOSE( CONTROL!$C$32, 24.1348, 24.1325) * CHOOSE( CONTROL!$C$15, $D$11, 100%, $F$11)</f>
        <v>24.134799999999998</v>
      </c>
      <c r="E817" s="12">
        <f>CHOOSE( CONTROL!$C$32, 24.1208, 24.1185) * CHOOSE( CONTROL!$C$15, $D$11, 100%, $F$11)</f>
        <v>24.120799999999999</v>
      </c>
      <c r="F817" s="4">
        <f>CHOOSE( CONTROL!$C$32, 24.8189, 24.8166) * CHOOSE(CONTROL!$C$15, $D$11, 100%, $F$11)</f>
        <v>24.818899999999999</v>
      </c>
      <c r="G817" s="8">
        <f>CHOOSE( CONTROL!$C$32, 23.5486, 23.5463) * CHOOSE( CONTROL!$C$15, $D$11, 100%, $F$11)</f>
        <v>23.5486</v>
      </c>
      <c r="H817" s="4">
        <f>CHOOSE( CONTROL!$C$32, 24.4995, 24.4973) * CHOOSE(CONTROL!$C$15, $D$11, 100%, $F$11)</f>
        <v>24.499500000000001</v>
      </c>
      <c r="I817" s="8">
        <f>CHOOSE( CONTROL!$C$32, 23.2406, 23.2384) * CHOOSE(CONTROL!$C$15, $D$11, 100%, $F$11)</f>
        <v>23.240600000000001</v>
      </c>
      <c r="J817" s="4">
        <f>CHOOSE( CONTROL!$C$32, 23.1144, 23.1122) * CHOOSE(CONTROL!$C$15, $D$11, 100%, $F$11)</f>
        <v>23.1144</v>
      </c>
      <c r="K817" s="4"/>
      <c r="L817" s="9">
        <v>29.7257</v>
      </c>
      <c r="M817" s="9">
        <v>11.6745</v>
      </c>
      <c r="N817" s="9">
        <v>4.7850000000000001</v>
      </c>
      <c r="O817" s="9">
        <v>0.36199999999999999</v>
      </c>
      <c r="P817" s="9">
        <v>1.1791</v>
      </c>
      <c r="Q817" s="9">
        <v>19.053000000000001</v>
      </c>
      <c r="R817" s="9"/>
      <c r="S817" s="11"/>
    </row>
    <row r="818" spans="1:19" ht="15.75">
      <c r="A818" s="13">
        <v>66415</v>
      </c>
      <c r="B818" s="8">
        <f>25.1572 * CHOOSE(CONTROL!$C$15, $D$11, 100%, $F$11)</f>
        <v>25.1572</v>
      </c>
      <c r="C818" s="8">
        <f>25.1679 * CHOOSE(CONTROL!$C$15, $D$11, 100%, $F$11)</f>
        <v>25.167899999999999</v>
      </c>
      <c r="D818" s="8">
        <f>25.2033 * CHOOSE( CONTROL!$C$15, $D$11, 100%, $F$11)</f>
        <v>25.203299999999999</v>
      </c>
      <c r="E818" s="12">
        <f>25.1905 * CHOOSE( CONTROL!$C$15, $D$11, 100%, $F$11)</f>
        <v>25.1905</v>
      </c>
      <c r="F818" s="4">
        <f>25.886 * CHOOSE(CONTROL!$C$15, $D$11, 100%, $F$11)</f>
        <v>25.885999999999999</v>
      </c>
      <c r="G818" s="8">
        <f>24.5917 * CHOOSE( CONTROL!$C$15, $D$11, 100%, $F$11)</f>
        <v>24.591699999999999</v>
      </c>
      <c r="H818" s="4">
        <f>25.5428 * CHOOSE(CONTROL!$C$15, $D$11, 100%, $F$11)</f>
        <v>25.5428</v>
      </c>
      <c r="I818" s="8">
        <f>24.2665 * CHOOSE(CONTROL!$C$15, $D$11, 100%, $F$11)</f>
        <v>24.266500000000001</v>
      </c>
      <c r="J818" s="4">
        <f>24.139 * CHOOSE(CONTROL!$C$15, $D$11, 100%, $F$11)</f>
        <v>24.138999999999999</v>
      </c>
      <c r="K818" s="4"/>
      <c r="L818" s="9">
        <v>31.095300000000002</v>
      </c>
      <c r="M818" s="9">
        <v>12.063700000000001</v>
      </c>
      <c r="N818" s="9">
        <v>4.9444999999999997</v>
      </c>
      <c r="O818" s="9">
        <v>0.37409999999999999</v>
      </c>
      <c r="P818" s="9">
        <v>1.2183999999999999</v>
      </c>
      <c r="Q818" s="9">
        <v>19.688099999999999</v>
      </c>
      <c r="R818" s="9"/>
      <c r="S818" s="11"/>
    </row>
    <row r="819" spans="1:19" ht="15.75">
      <c r="A819" s="13">
        <v>66445</v>
      </c>
      <c r="B819" s="8">
        <f>27.1311 * CHOOSE(CONTROL!$C$15, $D$11, 100%, $F$11)</f>
        <v>27.1311</v>
      </c>
      <c r="C819" s="8">
        <f>27.1418 * CHOOSE(CONTROL!$C$15, $D$11, 100%, $F$11)</f>
        <v>27.1418</v>
      </c>
      <c r="D819" s="8">
        <f>27.1179 * CHOOSE( CONTROL!$C$15, $D$11, 100%, $F$11)</f>
        <v>27.117899999999999</v>
      </c>
      <c r="E819" s="12">
        <f>27.1255 * CHOOSE( CONTROL!$C$15, $D$11, 100%, $F$11)</f>
        <v>27.125499999999999</v>
      </c>
      <c r="F819" s="4">
        <f>27.7922 * CHOOSE(CONTROL!$C$15, $D$11, 100%, $F$11)</f>
        <v>27.792200000000001</v>
      </c>
      <c r="G819" s="8">
        <f>26.5215 * CHOOSE( CONTROL!$C$15, $D$11, 100%, $F$11)</f>
        <v>26.5215</v>
      </c>
      <c r="H819" s="4">
        <f>27.4065 * CHOOSE(CONTROL!$C$15, $D$11, 100%, $F$11)</f>
        <v>27.406500000000001</v>
      </c>
      <c r="I819" s="8">
        <f>26.2059 * CHOOSE(CONTROL!$C$15, $D$11, 100%, $F$11)</f>
        <v>26.2059</v>
      </c>
      <c r="J819" s="4">
        <f>26.0341 * CHOOSE(CONTROL!$C$15, $D$11, 100%, $F$11)</f>
        <v>26.034099999999999</v>
      </c>
      <c r="K819" s="4"/>
      <c r="L819" s="9">
        <v>28.360600000000002</v>
      </c>
      <c r="M819" s="9">
        <v>11.6745</v>
      </c>
      <c r="N819" s="9">
        <v>4.7850000000000001</v>
      </c>
      <c r="O819" s="9">
        <v>0.36199999999999999</v>
      </c>
      <c r="P819" s="9">
        <v>1.2509999999999999</v>
      </c>
      <c r="Q819" s="9">
        <v>19.053000000000001</v>
      </c>
      <c r="R819" s="9"/>
      <c r="S819" s="11"/>
    </row>
    <row r="820" spans="1:19" ht="15.75">
      <c r="A820" s="13">
        <v>66476</v>
      </c>
      <c r="B820" s="8">
        <f>27.0818 * CHOOSE(CONTROL!$C$15, $D$11, 100%, $F$11)</f>
        <v>27.081800000000001</v>
      </c>
      <c r="C820" s="8">
        <f>27.0925 * CHOOSE(CONTROL!$C$15, $D$11, 100%, $F$11)</f>
        <v>27.092500000000001</v>
      </c>
      <c r="D820" s="8">
        <f>27.0703 * CHOOSE( CONTROL!$C$15, $D$11, 100%, $F$11)</f>
        <v>27.0703</v>
      </c>
      <c r="E820" s="12">
        <f>27.0773 * CHOOSE( CONTROL!$C$15, $D$11, 100%, $F$11)</f>
        <v>27.077300000000001</v>
      </c>
      <c r="F820" s="4">
        <f>27.7429 * CHOOSE(CONTROL!$C$15, $D$11, 100%, $F$11)</f>
        <v>27.742899999999999</v>
      </c>
      <c r="G820" s="8">
        <f>26.4745 * CHOOSE( CONTROL!$C$15, $D$11, 100%, $F$11)</f>
        <v>26.474499999999999</v>
      </c>
      <c r="H820" s="4">
        <f>27.3583 * CHOOSE(CONTROL!$C$15, $D$11, 100%, $F$11)</f>
        <v>27.3583</v>
      </c>
      <c r="I820" s="8">
        <f>26.1637 * CHOOSE(CONTROL!$C$15, $D$11, 100%, $F$11)</f>
        <v>26.163699999999999</v>
      </c>
      <c r="J820" s="4">
        <f>25.9867 * CHOOSE(CONTROL!$C$15, $D$11, 100%, $F$11)</f>
        <v>25.986699999999999</v>
      </c>
      <c r="K820" s="4"/>
      <c r="L820" s="9">
        <v>29.306000000000001</v>
      </c>
      <c r="M820" s="9">
        <v>12.063700000000001</v>
      </c>
      <c r="N820" s="9">
        <v>4.9444999999999997</v>
      </c>
      <c r="O820" s="9">
        <v>0.37409999999999999</v>
      </c>
      <c r="P820" s="9">
        <v>1.2927</v>
      </c>
      <c r="Q820" s="9">
        <v>19.688099999999999</v>
      </c>
      <c r="R820" s="9"/>
      <c r="S820" s="11"/>
    </row>
    <row r="821" spans="1:19" ht="15.75">
      <c r="A821" s="13">
        <v>66507</v>
      </c>
      <c r="B821" s="8">
        <f>27.8801 * CHOOSE(CONTROL!$C$15, $D$11, 100%, $F$11)</f>
        <v>27.880099999999999</v>
      </c>
      <c r="C821" s="8">
        <f>27.8909 * CHOOSE(CONTROL!$C$15, $D$11, 100%, $F$11)</f>
        <v>27.890899999999998</v>
      </c>
      <c r="D821" s="8">
        <f>27.8725 * CHOOSE( CONTROL!$C$15, $D$11, 100%, $F$11)</f>
        <v>27.872499999999999</v>
      </c>
      <c r="E821" s="12">
        <f>27.8781 * CHOOSE( CONTROL!$C$15, $D$11, 100%, $F$11)</f>
        <v>27.8781</v>
      </c>
      <c r="F821" s="4">
        <f>28.5412 * CHOOSE(CONTROL!$C$15, $D$11, 100%, $F$11)</f>
        <v>28.5412</v>
      </c>
      <c r="G821" s="8">
        <f>27.2507 * CHOOSE( CONTROL!$C$15, $D$11, 100%, $F$11)</f>
        <v>27.250699999999998</v>
      </c>
      <c r="H821" s="4">
        <f>28.1389 * CHOOSE(CONTROL!$C$15, $D$11, 100%, $F$11)</f>
        <v>28.1389</v>
      </c>
      <c r="I821" s="8">
        <f>26.886 * CHOOSE(CONTROL!$C$15, $D$11, 100%, $F$11)</f>
        <v>26.885999999999999</v>
      </c>
      <c r="J821" s="4">
        <f>26.7533 * CHOOSE(CONTROL!$C$15, $D$11, 100%, $F$11)</f>
        <v>26.753299999999999</v>
      </c>
      <c r="K821" s="4"/>
      <c r="L821" s="9">
        <v>29.306000000000001</v>
      </c>
      <c r="M821" s="9">
        <v>12.063700000000001</v>
      </c>
      <c r="N821" s="9">
        <v>4.9444999999999997</v>
      </c>
      <c r="O821" s="9">
        <v>0.37409999999999999</v>
      </c>
      <c r="P821" s="9">
        <v>1.2927</v>
      </c>
      <c r="Q821" s="9">
        <v>19.688099999999999</v>
      </c>
      <c r="R821" s="9"/>
      <c r="S821" s="11"/>
    </row>
    <row r="822" spans="1:19" ht="15.75">
      <c r="A822" s="13">
        <v>66535</v>
      </c>
      <c r="B822" s="8">
        <f>26.0787 * CHOOSE(CONTROL!$C$15, $D$11, 100%, $F$11)</f>
        <v>26.078700000000001</v>
      </c>
      <c r="C822" s="8">
        <f>26.0895 * CHOOSE(CONTROL!$C$15, $D$11, 100%, $F$11)</f>
        <v>26.089500000000001</v>
      </c>
      <c r="D822" s="8">
        <f>26.0709 * CHOOSE( CONTROL!$C$15, $D$11, 100%, $F$11)</f>
        <v>26.070900000000002</v>
      </c>
      <c r="E822" s="12">
        <f>26.0766 * CHOOSE( CONTROL!$C$15, $D$11, 100%, $F$11)</f>
        <v>26.076599999999999</v>
      </c>
      <c r="F822" s="4">
        <f>26.7398 * CHOOSE(CONTROL!$C$15, $D$11, 100%, $F$11)</f>
        <v>26.739799999999999</v>
      </c>
      <c r="G822" s="8">
        <f>25.4893 * CHOOSE( CONTROL!$C$15, $D$11, 100%, $F$11)</f>
        <v>25.4893</v>
      </c>
      <c r="H822" s="4">
        <f>26.3776 * CHOOSE(CONTROL!$C$15, $D$11, 100%, $F$11)</f>
        <v>26.377600000000001</v>
      </c>
      <c r="I822" s="8">
        <f>25.1551 * CHOOSE(CONTROL!$C$15, $D$11, 100%, $F$11)</f>
        <v>25.155100000000001</v>
      </c>
      <c r="J822" s="4">
        <f>25.0237 * CHOOSE(CONTROL!$C$15, $D$11, 100%, $F$11)</f>
        <v>25.023700000000002</v>
      </c>
      <c r="K822" s="4"/>
      <c r="L822" s="9">
        <v>26.469899999999999</v>
      </c>
      <c r="M822" s="9">
        <v>10.8962</v>
      </c>
      <c r="N822" s="9">
        <v>4.4660000000000002</v>
      </c>
      <c r="O822" s="9">
        <v>0.33789999999999998</v>
      </c>
      <c r="P822" s="9">
        <v>1.1676</v>
      </c>
      <c r="Q822" s="9">
        <v>17.782800000000002</v>
      </c>
      <c r="R822" s="9"/>
      <c r="S822" s="11"/>
    </row>
    <row r="823" spans="1:19" ht="15.75">
      <c r="A823" s="13">
        <v>66566</v>
      </c>
      <c r="B823" s="8">
        <f>25.5239 * CHOOSE(CONTROL!$C$15, $D$11, 100%, $F$11)</f>
        <v>25.523900000000001</v>
      </c>
      <c r="C823" s="8">
        <f>25.5346 * CHOOSE(CONTROL!$C$15, $D$11, 100%, $F$11)</f>
        <v>25.534600000000001</v>
      </c>
      <c r="D823" s="8">
        <f>25.5156 * CHOOSE( CONTROL!$C$15, $D$11, 100%, $F$11)</f>
        <v>25.515599999999999</v>
      </c>
      <c r="E823" s="12">
        <f>25.5214 * CHOOSE( CONTROL!$C$15, $D$11, 100%, $F$11)</f>
        <v>25.5214</v>
      </c>
      <c r="F823" s="4">
        <f>26.185 * CHOOSE(CONTROL!$C$15, $D$11, 100%, $F$11)</f>
        <v>26.184999999999999</v>
      </c>
      <c r="G823" s="8">
        <f>24.9465 * CHOOSE( CONTROL!$C$15, $D$11, 100%, $F$11)</f>
        <v>24.9465</v>
      </c>
      <c r="H823" s="4">
        <f>25.8352 * CHOOSE(CONTROL!$C$15, $D$11, 100%, $F$11)</f>
        <v>25.8352</v>
      </c>
      <c r="I823" s="8">
        <f>24.6206 * CHOOSE(CONTROL!$C$15, $D$11, 100%, $F$11)</f>
        <v>24.6206</v>
      </c>
      <c r="J823" s="4">
        <f>24.491 * CHOOSE(CONTROL!$C$15, $D$11, 100%, $F$11)</f>
        <v>24.491</v>
      </c>
      <c r="K823" s="4"/>
      <c r="L823" s="9">
        <v>29.306000000000001</v>
      </c>
      <c r="M823" s="9">
        <v>12.063700000000001</v>
      </c>
      <c r="N823" s="9">
        <v>4.9444999999999997</v>
      </c>
      <c r="O823" s="9">
        <v>0.37409999999999999</v>
      </c>
      <c r="P823" s="9">
        <v>1.2927</v>
      </c>
      <c r="Q823" s="9">
        <v>19.688099999999999</v>
      </c>
      <c r="R823" s="9"/>
      <c r="S823" s="11"/>
    </row>
    <row r="824" spans="1:19" ht="15.75">
      <c r="A824" s="13">
        <v>66596</v>
      </c>
      <c r="B824" s="8">
        <f>25.9115 * CHOOSE(CONTROL!$C$15, $D$11, 100%, $F$11)</f>
        <v>25.9115</v>
      </c>
      <c r="C824" s="8">
        <f>25.9223 * CHOOSE(CONTROL!$C$15, $D$11, 100%, $F$11)</f>
        <v>25.9223</v>
      </c>
      <c r="D824" s="8">
        <f>25.9571 * CHOOSE( CONTROL!$C$15, $D$11, 100%, $F$11)</f>
        <v>25.957100000000001</v>
      </c>
      <c r="E824" s="12">
        <f>25.9444 * CHOOSE( CONTROL!$C$15, $D$11, 100%, $F$11)</f>
        <v>25.944400000000002</v>
      </c>
      <c r="F824" s="4">
        <f>26.6404 * CHOOSE(CONTROL!$C$15, $D$11, 100%, $F$11)</f>
        <v>26.6404</v>
      </c>
      <c r="G824" s="8">
        <f>25.3283 * CHOOSE( CONTROL!$C$15, $D$11, 100%, $F$11)</f>
        <v>25.328299999999999</v>
      </c>
      <c r="H824" s="4">
        <f>26.2804 * CHOOSE(CONTROL!$C$15, $D$11, 100%, $F$11)</f>
        <v>26.2804</v>
      </c>
      <c r="I824" s="8">
        <f>24.9883 * CHOOSE(CONTROL!$C$15, $D$11, 100%, $F$11)</f>
        <v>24.988299999999999</v>
      </c>
      <c r="J824" s="4">
        <f>24.8632 * CHOOSE(CONTROL!$C$15, $D$11, 100%, $F$11)</f>
        <v>24.863199999999999</v>
      </c>
      <c r="K824" s="4"/>
      <c r="L824" s="9">
        <v>30.092199999999998</v>
      </c>
      <c r="M824" s="9">
        <v>11.6745</v>
      </c>
      <c r="N824" s="9">
        <v>4.7850000000000001</v>
      </c>
      <c r="O824" s="9">
        <v>0.36199999999999999</v>
      </c>
      <c r="P824" s="9">
        <v>1.1791</v>
      </c>
      <c r="Q824" s="9">
        <v>19.053000000000001</v>
      </c>
      <c r="R824" s="9"/>
      <c r="S824" s="11"/>
    </row>
    <row r="825" spans="1:19" ht="15.75">
      <c r="A825" s="13">
        <v>66627</v>
      </c>
      <c r="B825" s="8">
        <f>CHOOSE( CONTROL!$C$32, 26.6038, 26.6015) * CHOOSE(CONTROL!$C$15, $D$11, 100%, $F$11)</f>
        <v>26.6038</v>
      </c>
      <c r="C825" s="8">
        <f>CHOOSE( CONTROL!$C$32, 26.6143, 26.612) * CHOOSE(CONTROL!$C$15, $D$11, 100%, $F$11)</f>
        <v>26.6143</v>
      </c>
      <c r="D825" s="8">
        <f>CHOOSE( CONTROL!$C$32, 26.6482, 26.6459) * CHOOSE( CONTROL!$C$15, $D$11, 100%, $F$11)</f>
        <v>26.648199999999999</v>
      </c>
      <c r="E825" s="12">
        <f>CHOOSE( CONTROL!$C$32, 26.6343, 26.632) * CHOOSE( CONTROL!$C$15, $D$11, 100%, $F$11)</f>
        <v>26.6343</v>
      </c>
      <c r="F825" s="4">
        <f>CHOOSE( CONTROL!$C$32, 27.3327, 27.3304) * CHOOSE(CONTROL!$C$15, $D$11, 100%, $F$11)</f>
        <v>27.332699999999999</v>
      </c>
      <c r="G825" s="8">
        <f>CHOOSE( CONTROL!$C$32, 26.0057, 26.0035) * CHOOSE( CONTROL!$C$15, $D$11, 100%, $F$11)</f>
        <v>26.005700000000001</v>
      </c>
      <c r="H825" s="4">
        <f>CHOOSE( CONTROL!$C$32, 26.9573, 26.955) * CHOOSE(CONTROL!$C$15, $D$11, 100%, $F$11)</f>
        <v>26.9573</v>
      </c>
      <c r="I825" s="8">
        <f>CHOOSE( CONTROL!$C$32, 25.6534, 25.6512) * CHOOSE(CONTROL!$C$15, $D$11, 100%, $F$11)</f>
        <v>25.653400000000001</v>
      </c>
      <c r="J825" s="4">
        <f>CHOOSE( CONTROL!$C$32, 25.528, 25.5257) * CHOOSE(CONTROL!$C$15, $D$11, 100%, $F$11)</f>
        <v>25.527999999999999</v>
      </c>
      <c r="K825" s="4"/>
      <c r="L825" s="9">
        <v>30.7165</v>
      </c>
      <c r="M825" s="9">
        <v>12.063700000000001</v>
      </c>
      <c r="N825" s="9">
        <v>4.9444999999999997</v>
      </c>
      <c r="O825" s="9">
        <v>0.37409999999999999</v>
      </c>
      <c r="P825" s="9">
        <v>1.2183999999999999</v>
      </c>
      <c r="Q825" s="9">
        <v>19.688099999999999</v>
      </c>
      <c r="R825" s="9"/>
      <c r="S825" s="11"/>
    </row>
    <row r="826" spans="1:19" ht="15.75">
      <c r="A826" s="13">
        <v>66657</v>
      </c>
      <c r="B826" s="8">
        <f>CHOOSE( CONTROL!$C$32, 26.1763, 26.174) * CHOOSE(CONTROL!$C$15, $D$11, 100%, $F$11)</f>
        <v>26.176300000000001</v>
      </c>
      <c r="C826" s="8">
        <f>CHOOSE( CONTROL!$C$32, 26.1869, 26.1846) * CHOOSE(CONTROL!$C$15, $D$11, 100%, $F$11)</f>
        <v>26.186900000000001</v>
      </c>
      <c r="D826" s="8">
        <f>CHOOSE( CONTROL!$C$32, 26.2209, 26.2186) * CHOOSE( CONTROL!$C$15, $D$11, 100%, $F$11)</f>
        <v>26.2209</v>
      </c>
      <c r="E826" s="12">
        <f>CHOOSE( CONTROL!$C$32, 26.207, 26.2047) * CHOOSE( CONTROL!$C$15, $D$11, 100%, $F$11)</f>
        <v>26.207000000000001</v>
      </c>
      <c r="F826" s="4">
        <f>CHOOSE( CONTROL!$C$32, 26.9053, 26.903) * CHOOSE(CONTROL!$C$15, $D$11, 100%, $F$11)</f>
        <v>26.9053</v>
      </c>
      <c r="G826" s="8">
        <f>CHOOSE( CONTROL!$C$32, 25.588, 25.5858) * CHOOSE( CONTROL!$C$15, $D$11, 100%, $F$11)</f>
        <v>25.588000000000001</v>
      </c>
      <c r="H826" s="4">
        <f>CHOOSE( CONTROL!$C$32, 26.5394, 26.5371) * CHOOSE(CONTROL!$C$15, $D$11, 100%, $F$11)</f>
        <v>26.539400000000001</v>
      </c>
      <c r="I826" s="8">
        <f>CHOOSE( CONTROL!$C$32, 25.2436, 25.2414) * CHOOSE(CONTROL!$C$15, $D$11, 100%, $F$11)</f>
        <v>25.243600000000001</v>
      </c>
      <c r="J826" s="4">
        <f>CHOOSE( CONTROL!$C$32, 25.1176, 25.1154) * CHOOSE(CONTROL!$C$15, $D$11, 100%, $F$11)</f>
        <v>25.117599999999999</v>
      </c>
      <c r="K826" s="4"/>
      <c r="L826" s="9">
        <v>29.7257</v>
      </c>
      <c r="M826" s="9">
        <v>11.6745</v>
      </c>
      <c r="N826" s="9">
        <v>4.7850000000000001</v>
      </c>
      <c r="O826" s="9">
        <v>0.36199999999999999</v>
      </c>
      <c r="P826" s="9">
        <v>1.1791</v>
      </c>
      <c r="Q826" s="9">
        <v>19.053000000000001</v>
      </c>
      <c r="R826" s="9"/>
      <c r="S826" s="11"/>
    </row>
    <row r="827" spans="1:19" ht="15.75">
      <c r="A827" s="13">
        <v>66688</v>
      </c>
      <c r="B827" s="8">
        <f>CHOOSE( CONTROL!$C$32, 27.302, 27.2997) * CHOOSE(CONTROL!$C$15, $D$11, 100%, $F$11)</f>
        <v>27.302</v>
      </c>
      <c r="C827" s="8">
        <f>CHOOSE( CONTROL!$C$32, 27.3125, 27.3102) * CHOOSE(CONTROL!$C$15, $D$11, 100%, $F$11)</f>
        <v>27.3125</v>
      </c>
      <c r="D827" s="8">
        <f>CHOOSE( CONTROL!$C$32, 27.3467, 27.3444) * CHOOSE( CONTROL!$C$15, $D$11, 100%, $F$11)</f>
        <v>27.346699999999998</v>
      </c>
      <c r="E827" s="12">
        <f>CHOOSE( CONTROL!$C$32, 27.3327, 27.3304) * CHOOSE( CONTROL!$C$15, $D$11, 100%, $F$11)</f>
        <v>27.332699999999999</v>
      </c>
      <c r="F827" s="4">
        <f>CHOOSE( CONTROL!$C$32, 28.0309, 28.0286) * CHOOSE(CONTROL!$C$15, $D$11, 100%, $F$11)</f>
        <v>28.030899999999999</v>
      </c>
      <c r="G827" s="8">
        <f>CHOOSE( CONTROL!$C$32, 26.6889, 26.6866) * CHOOSE( CONTROL!$C$15, $D$11, 100%, $F$11)</f>
        <v>26.6889</v>
      </c>
      <c r="H827" s="4">
        <f>CHOOSE( CONTROL!$C$32, 27.6399, 27.6377) * CHOOSE(CONTROL!$C$15, $D$11, 100%, $F$11)</f>
        <v>27.639900000000001</v>
      </c>
      <c r="I827" s="8">
        <f>CHOOSE( CONTROL!$C$32, 26.3258, 26.3236) * CHOOSE(CONTROL!$C$15, $D$11, 100%, $F$11)</f>
        <v>26.325800000000001</v>
      </c>
      <c r="J827" s="4">
        <f>CHOOSE( CONTROL!$C$32, 26.1983, 26.1961) * CHOOSE(CONTROL!$C$15, $D$11, 100%, $F$11)</f>
        <v>26.1983</v>
      </c>
      <c r="K827" s="4"/>
      <c r="L827" s="9">
        <v>30.7165</v>
      </c>
      <c r="M827" s="9">
        <v>12.063700000000001</v>
      </c>
      <c r="N827" s="9">
        <v>4.9444999999999997</v>
      </c>
      <c r="O827" s="9">
        <v>0.37409999999999999</v>
      </c>
      <c r="P827" s="9">
        <v>1.2183999999999999</v>
      </c>
      <c r="Q827" s="9">
        <v>19.688099999999999</v>
      </c>
      <c r="R827" s="9"/>
      <c r="S827" s="11"/>
    </row>
    <row r="828" spans="1:19" ht="15.75">
      <c r="A828" s="13">
        <v>66719</v>
      </c>
      <c r="B828" s="8">
        <f>CHOOSE( CONTROL!$C$32, 25.1958, 25.1935) * CHOOSE(CONTROL!$C$15, $D$11, 100%, $F$11)</f>
        <v>25.195799999999998</v>
      </c>
      <c r="C828" s="8">
        <f>CHOOSE( CONTROL!$C$32, 25.2063, 25.204) * CHOOSE(CONTROL!$C$15, $D$11, 100%, $F$11)</f>
        <v>25.206299999999999</v>
      </c>
      <c r="D828" s="8">
        <f>CHOOSE( CONTROL!$C$32, 25.2406, 25.2383) * CHOOSE( CONTROL!$C$15, $D$11, 100%, $F$11)</f>
        <v>25.240600000000001</v>
      </c>
      <c r="E828" s="12">
        <f>CHOOSE( CONTROL!$C$32, 25.2266, 25.2243) * CHOOSE( CONTROL!$C$15, $D$11, 100%, $F$11)</f>
        <v>25.226600000000001</v>
      </c>
      <c r="F828" s="4">
        <f>CHOOSE( CONTROL!$C$32, 25.9247, 25.9224) * CHOOSE(CONTROL!$C$15, $D$11, 100%, $F$11)</f>
        <v>25.924700000000001</v>
      </c>
      <c r="G828" s="8">
        <f>CHOOSE( CONTROL!$C$32, 24.6298, 24.6275) * CHOOSE( CONTROL!$C$15, $D$11, 100%, $F$11)</f>
        <v>24.629799999999999</v>
      </c>
      <c r="H828" s="4">
        <f>CHOOSE( CONTROL!$C$32, 25.5807, 25.5785) * CHOOSE(CONTROL!$C$15, $D$11, 100%, $F$11)</f>
        <v>25.5807</v>
      </c>
      <c r="I828" s="8">
        <f>CHOOSE( CONTROL!$C$32, 24.3029, 24.3007) * CHOOSE(CONTROL!$C$15, $D$11, 100%, $F$11)</f>
        <v>24.302900000000001</v>
      </c>
      <c r="J828" s="4">
        <f>CHOOSE( CONTROL!$C$32, 24.1761, 24.1739) * CHOOSE(CONTROL!$C$15, $D$11, 100%, $F$11)</f>
        <v>24.176100000000002</v>
      </c>
      <c r="K828" s="4"/>
      <c r="L828" s="9">
        <v>30.7165</v>
      </c>
      <c r="M828" s="9">
        <v>12.063700000000001</v>
      </c>
      <c r="N828" s="9">
        <v>4.9444999999999997</v>
      </c>
      <c r="O828" s="9">
        <v>0.37409999999999999</v>
      </c>
      <c r="P828" s="9">
        <v>1.2183999999999999</v>
      </c>
      <c r="Q828" s="9">
        <v>19.688099999999999</v>
      </c>
      <c r="R828" s="9"/>
      <c r="S828" s="11"/>
    </row>
    <row r="829" spans="1:19" ht="15.75">
      <c r="A829" s="13">
        <v>66749</v>
      </c>
      <c r="B829" s="8">
        <f>CHOOSE( CONTROL!$C$32, 24.6684, 24.6661) * CHOOSE(CONTROL!$C$15, $D$11, 100%, $F$11)</f>
        <v>24.668399999999998</v>
      </c>
      <c r="C829" s="8">
        <f>CHOOSE( CONTROL!$C$32, 24.6789, 24.6766) * CHOOSE(CONTROL!$C$15, $D$11, 100%, $F$11)</f>
        <v>24.678899999999999</v>
      </c>
      <c r="D829" s="8">
        <f>CHOOSE( CONTROL!$C$32, 24.7132, 24.7109) * CHOOSE( CONTROL!$C$15, $D$11, 100%, $F$11)</f>
        <v>24.713200000000001</v>
      </c>
      <c r="E829" s="12">
        <f>CHOOSE( CONTROL!$C$32, 24.6992, 24.6969) * CHOOSE( CONTROL!$C$15, $D$11, 100%, $F$11)</f>
        <v>24.699200000000001</v>
      </c>
      <c r="F829" s="4">
        <f>CHOOSE( CONTROL!$C$32, 25.3973, 25.395) * CHOOSE(CONTROL!$C$15, $D$11, 100%, $F$11)</f>
        <v>25.397300000000001</v>
      </c>
      <c r="G829" s="8">
        <f>CHOOSE( CONTROL!$C$32, 24.1141, 24.1118) * CHOOSE( CONTROL!$C$15, $D$11, 100%, $F$11)</f>
        <v>24.114100000000001</v>
      </c>
      <c r="H829" s="4">
        <f>CHOOSE( CONTROL!$C$32, 25.065, 25.0628) * CHOOSE(CONTROL!$C$15, $D$11, 100%, $F$11)</f>
        <v>25.065000000000001</v>
      </c>
      <c r="I829" s="8">
        <f>CHOOSE( CONTROL!$C$32, 23.7962, 23.794) * CHOOSE(CONTROL!$C$15, $D$11, 100%, $F$11)</f>
        <v>23.796199999999999</v>
      </c>
      <c r="J829" s="4">
        <f>CHOOSE( CONTROL!$C$32, 23.6698, 23.6676) * CHOOSE(CONTROL!$C$15, $D$11, 100%, $F$11)</f>
        <v>23.669799999999999</v>
      </c>
      <c r="K829" s="4"/>
      <c r="L829" s="9">
        <v>29.7257</v>
      </c>
      <c r="M829" s="9">
        <v>11.6745</v>
      </c>
      <c r="N829" s="9">
        <v>4.7850000000000001</v>
      </c>
      <c r="O829" s="9">
        <v>0.36199999999999999</v>
      </c>
      <c r="P829" s="9">
        <v>1.1791</v>
      </c>
      <c r="Q829" s="9">
        <v>19.053000000000001</v>
      </c>
      <c r="R829" s="9"/>
      <c r="S829" s="11"/>
    </row>
    <row r="830" spans="1:19" ht="15.75">
      <c r="A830" s="13">
        <v>66780</v>
      </c>
      <c r="B830" s="8">
        <f>25.7613 * CHOOSE(CONTROL!$C$15, $D$11, 100%, $F$11)</f>
        <v>25.761299999999999</v>
      </c>
      <c r="C830" s="8">
        <f>25.772 * CHOOSE(CONTROL!$C$15, $D$11, 100%, $F$11)</f>
        <v>25.771999999999998</v>
      </c>
      <c r="D830" s="8">
        <f>25.8074 * CHOOSE( CONTROL!$C$15, $D$11, 100%, $F$11)</f>
        <v>25.807400000000001</v>
      </c>
      <c r="E830" s="12">
        <f>25.7946 * CHOOSE( CONTROL!$C$15, $D$11, 100%, $F$11)</f>
        <v>25.794599999999999</v>
      </c>
      <c r="F830" s="4">
        <f>26.4901 * CHOOSE(CONTROL!$C$15, $D$11, 100%, $F$11)</f>
        <v>26.490100000000002</v>
      </c>
      <c r="G830" s="8">
        <f>25.1823 * CHOOSE( CONTROL!$C$15, $D$11, 100%, $F$11)</f>
        <v>25.182300000000001</v>
      </c>
      <c r="H830" s="4">
        <f>26.1335 * CHOOSE(CONTROL!$C$15, $D$11, 100%, $F$11)</f>
        <v>26.133500000000002</v>
      </c>
      <c r="I830" s="8">
        <f>24.8468 * CHOOSE(CONTROL!$C$15, $D$11, 100%, $F$11)</f>
        <v>24.846800000000002</v>
      </c>
      <c r="J830" s="4">
        <f>24.719 * CHOOSE(CONTROL!$C$15, $D$11, 100%, $F$11)</f>
        <v>24.719000000000001</v>
      </c>
      <c r="K830" s="4"/>
      <c r="L830" s="9">
        <v>31.095300000000002</v>
      </c>
      <c r="M830" s="9">
        <v>12.063700000000001</v>
      </c>
      <c r="N830" s="9">
        <v>4.9444999999999997</v>
      </c>
      <c r="O830" s="9">
        <v>0.37409999999999999</v>
      </c>
      <c r="P830" s="9">
        <v>1.2183999999999999</v>
      </c>
      <c r="Q830" s="9">
        <v>19.688099999999999</v>
      </c>
      <c r="R830" s="9"/>
      <c r="S830" s="11"/>
    </row>
    <row r="831" spans="1:19" ht="15.75">
      <c r="A831" s="13">
        <v>66810</v>
      </c>
      <c r="B831" s="8">
        <f>27.7826 * CHOOSE(CONTROL!$C$15, $D$11, 100%, $F$11)</f>
        <v>27.782599999999999</v>
      </c>
      <c r="C831" s="8">
        <f>27.7934 * CHOOSE(CONTROL!$C$15, $D$11, 100%, $F$11)</f>
        <v>27.793399999999998</v>
      </c>
      <c r="D831" s="8">
        <f>27.7694 * CHOOSE( CONTROL!$C$15, $D$11, 100%, $F$11)</f>
        <v>27.769400000000001</v>
      </c>
      <c r="E831" s="12">
        <f>27.777 * CHOOSE( CONTROL!$C$15, $D$11, 100%, $F$11)</f>
        <v>27.777000000000001</v>
      </c>
      <c r="F831" s="4">
        <f>28.4437 * CHOOSE(CONTROL!$C$15, $D$11, 100%, $F$11)</f>
        <v>28.4437</v>
      </c>
      <c r="G831" s="8">
        <f>27.1585 * CHOOSE( CONTROL!$C$15, $D$11, 100%, $F$11)</f>
        <v>27.1585</v>
      </c>
      <c r="H831" s="4">
        <f>28.0435 * CHOOSE(CONTROL!$C$15, $D$11, 100%, $F$11)</f>
        <v>28.043500000000002</v>
      </c>
      <c r="I831" s="8">
        <f>26.8317 * CHOOSE(CONTROL!$C$15, $D$11, 100%, $F$11)</f>
        <v>26.831700000000001</v>
      </c>
      <c r="J831" s="4">
        <f>26.6596 * CHOOSE(CONTROL!$C$15, $D$11, 100%, $F$11)</f>
        <v>26.659600000000001</v>
      </c>
      <c r="K831" s="4"/>
      <c r="L831" s="9">
        <v>28.360600000000002</v>
      </c>
      <c r="M831" s="9">
        <v>11.6745</v>
      </c>
      <c r="N831" s="9">
        <v>4.7850000000000001</v>
      </c>
      <c r="O831" s="9">
        <v>0.36199999999999999</v>
      </c>
      <c r="P831" s="9">
        <v>1.2509999999999999</v>
      </c>
      <c r="Q831" s="9">
        <v>19.053000000000001</v>
      </c>
      <c r="R831" s="9"/>
      <c r="S831" s="11"/>
    </row>
    <row r="832" spans="1:19" ht="15.75">
      <c r="A832" s="13">
        <v>66841</v>
      </c>
      <c r="B832" s="8">
        <f>27.7321 * CHOOSE(CONTROL!$C$15, $D$11, 100%, $F$11)</f>
        <v>27.732099999999999</v>
      </c>
      <c r="C832" s="8">
        <f>27.7429 * CHOOSE(CONTROL!$C$15, $D$11, 100%, $F$11)</f>
        <v>27.742899999999999</v>
      </c>
      <c r="D832" s="8">
        <f>27.7206 * CHOOSE( CONTROL!$C$15, $D$11, 100%, $F$11)</f>
        <v>27.720600000000001</v>
      </c>
      <c r="E832" s="12">
        <f>27.7276 * CHOOSE( CONTROL!$C$15, $D$11, 100%, $F$11)</f>
        <v>27.727599999999999</v>
      </c>
      <c r="F832" s="4">
        <f>28.3932 * CHOOSE(CONTROL!$C$15, $D$11, 100%, $F$11)</f>
        <v>28.3932</v>
      </c>
      <c r="G832" s="8">
        <f>27.1104 * CHOOSE( CONTROL!$C$15, $D$11, 100%, $F$11)</f>
        <v>27.110399999999998</v>
      </c>
      <c r="H832" s="4">
        <f>27.9941 * CHOOSE(CONTROL!$C$15, $D$11, 100%, $F$11)</f>
        <v>27.9941</v>
      </c>
      <c r="I832" s="8">
        <f>26.7884 * CHOOSE(CONTROL!$C$15, $D$11, 100%, $F$11)</f>
        <v>26.788399999999999</v>
      </c>
      <c r="J832" s="4">
        <f>26.6111 * CHOOSE(CONTROL!$C$15, $D$11, 100%, $F$11)</f>
        <v>26.6111</v>
      </c>
      <c r="K832" s="4"/>
      <c r="L832" s="9">
        <v>29.306000000000001</v>
      </c>
      <c r="M832" s="9">
        <v>12.063700000000001</v>
      </c>
      <c r="N832" s="9">
        <v>4.9444999999999997</v>
      </c>
      <c r="O832" s="9">
        <v>0.37409999999999999</v>
      </c>
      <c r="P832" s="9">
        <v>1.2927</v>
      </c>
      <c r="Q832" s="9">
        <v>19.688099999999999</v>
      </c>
      <c r="R832" s="9"/>
      <c r="S832" s="11"/>
    </row>
    <row r="833" spans="1:19" ht="15.75">
      <c r="A833" s="13">
        <v>66872</v>
      </c>
      <c r="B833" s="8">
        <f>28.5497 * CHOOSE(CONTROL!$C$15, $D$11, 100%, $F$11)</f>
        <v>28.549700000000001</v>
      </c>
      <c r="C833" s="8">
        <f>28.5604 * CHOOSE(CONTROL!$C$15, $D$11, 100%, $F$11)</f>
        <v>28.560400000000001</v>
      </c>
      <c r="D833" s="8">
        <f>28.542 * CHOOSE( CONTROL!$C$15, $D$11, 100%, $F$11)</f>
        <v>28.542000000000002</v>
      </c>
      <c r="E833" s="12">
        <f>28.5476 * CHOOSE( CONTROL!$C$15, $D$11, 100%, $F$11)</f>
        <v>28.547599999999999</v>
      </c>
      <c r="F833" s="4">
        <f>29.2108 * CHOOSE(CONTROL!$C$15, $D$11, 100%, $F$11)</f>
        <v>29.210799999999999</v>
      </c>
      <c r="G833" s="8">
        <f>27.9053 * CHOOSE( CONTROL!$C$15, $D$11, 100%, $F$11)</f>
        <v>27.9053</v>
      </c>
      <c r="H833" s="4">
        <f>28.7935 * CHOOSE(CONTROL!$C$15, $D$11, 100%, $F$11)</f>
        <v>28.793500000000002</v>
      </c>
      <c r="I833" s="8">
        <f>27.5291 * CHOOSE(CONTROL!$C$15, $D$11, 100%, $F$11)</f>
        <v>27.5291</v>
      </c>
      <c r="J833" s="4">
        <f>27.3961 * CHOOSE(CONTROL!$C$15, $D$11, 100%, $F$11)</f>
        <v>27.396100000000001</v>
      </c>
      <c r="K833" s="4"/>
      <c r="L833" s="9">
        <v>29.306000000000001</v>
      </c>
      <c r="M833" s="9">
        <v>12.063700000000001</v>
      </c>
      <c r="N833" s="9">
        <v>4.9444999999999997</v>
      </c>
      <c r="O833" s="9">
        <v>0.37409999999999999</v>
      </c>
      <c r="P833" s="9">
        <v>1.2927</v>
      </c>
      <c r="Q833" s="9">
        <v>19.688099999999999</v>
      </c>
      <c r="R833" s="9"/>
      <c r="S833" s="11"/>
    </row>
    <row r="834" spans="1:19" ht="15.75">
      <c r="A834" s="13">
        <v>66900</v>
      </c>
      <c r="B834" s="8">
        <f>26.705 * CHOOSE(CONTROL!$C$15, $D$11, 100%, $F$11)</f>
        <v>26.704999999999998</v>
      </c>
      <c r="C834" s="8">
        <f>26.7157 * CHOOSE(CONTROL!$C$15, $D$11, 100%, $F$11)</f>
        <v>26.715699999999998</v>
      </c>
      <c r="D834" s="8">
        <f>26.6972 * CHOOSE( CONTROL!$C$15, $D$11, 100%, $F$11)</f>
        <v>26.697199999999999</v>
      </c>
      <c r="E834" s="12">
        <f>26.7028 * CHOOSE( CONTROL!$C$15, $D$11, 100%, $F$11)</f>
        <v>26.7028</v>
      </c>
      <c r="F834" s="4">
        <f>27.3661 * CHOOSE(CONTROL!$C$15, $D$11, 100%, $F$11)</f>
        <v>27.366099999999999</v>
      </c>
      <c r="G834" s="8">
        <f>26.1016 * CHOOSE( CONTROL!$C$15, $D$11, 100%, $F$11)</f>
        <v>26.101600000000001</v>
      </c>
      <c r="H834" s="4">
        <f>26.9899 * CHOOSE(CONTROL!$C$15, $D$11, 100%, $F$11)</f>
        <v>26.989899999999999</v>
      </c>
      <c r="I834" s="8">
        <f>25.7566 * CHOOSE(CONTROL!$C$15, $D$11, 100%, $F$11)</f>
        <v>25.756599999999999</v>
      </c>
      <c r="J834" s="4">
        <f>25.625 * CHOOSE(CONTROL!$C$15, $D$11, 100%, $F$11)</f>
        <v>25.625</v>
      </c>
      <c r="K834" s="4"/>
      <c r="L834" s="9">
        <v>26.469899999999999</v>
      </c>
      <c r="M834" s="9">
        <v>10.8962</v>
      </c>
      <c r="N834" s="9">
        <v>4.4660000000000002</v>
      </c>
      <c r="O834" s="9">
        <v>0.33789999999999998</v>
      </c>
      <c r="P834" s="9">
        <v>1.1676</v>
      </c>
      <c r="Q834" s="9">
        <v>17.782800000000002</v>
      </c>
      <c r="R834" s="9"/>
      <c r="S834" s="11"/>
    </row>
    <row r="835" spans="1:19" ht="15.75">
      <c r="A835" s="13">
        <v>66931</v>
      </c>
      <c r="B835" s="8">
        <f>26.1368 * CHOOSE(CONTROL!$C$15, $D$11, 100%, $F$11)</f>
        <v>26.136800000000001</v>
      </c>
      <c r="C835" s="8">
        <f>26.1476 * CHOOSE(CONTROL!$C$15, $D$11, 100%, $F$11)</f>
        <v>26.147600000000001</v>
      </c>
      <c r="D835" s="8">
        <f>26.1285 * CHOOSE( CONTROL!$C$15, $D$11, 100%, $F$11)</f>
        <v>26.128499999999999</v>
      </c>
      <c r="E835" s="12">
        <f>26.1343 * CHOOSE( CONTROL!$C$15, $D$11, 100%, $F$11)</f>
        <v>26.1343</v>
      </c>
      <c r="F835" s="4">
        <f>26.7979 * CHOOSE(CONTROL!$C$15, $D$11, 100%, $F$11)</f>
        <v>26.797899999999998</v>
      </c>
      <c r="G835" s="8">
        <f>25.5458 * CHOOSE( CONTROL!$C$15, $D$11, 100%, $F$11)</f>
        <v>25.5458</v>
      </c>
      <c r="H835" s="4">
        <f>26.4344 * CHOOSE(CONTROL!$C$15, $D$11, 100%, $F$11)</f>
        <v>26.4344</v>
      </c>
      <c r="I835" s="8">
        <f>25.2093 * CHOOSE(CONTROL!$C$15, $D$11, 100%, $F$11)</f>
        <v>25.209299999999999</v>
      </c>
      <c r="J835" s="4">
        <f>25.0795 * CHOOSE(CONTROL!$C$15, $D$11, 100%, $F$11)</f>
        <v>25.079499999999999</v>
      </c>
      <c r="K835" s="4"/>
      <c r="L835" s="9">
        <v>29.306000000000001</v>
      </c>
      <c r="M835" s="9">
        <v>12.063700000000001</v>
      </c>
      <c r="N835" s="9">
        <v>4.9444999999999997</v>
      </c>
      <c r="O835" s="9">
        <v>0.37409999999999999</v>
      </c>
      <c r="P835" s="9">
        <v>1.2927</v>
      </c>
      <c r="Q835" s="9">
        <v>19.688099999999999</v>
      </c>
      <c r="R835" s="9"/>
      <c r="S835" s="11"/>
    </row>
    <row r="836" spans="1:19" ht="15.75">
      <c r="A836" s="13">
        <v>66961</v>
      </c>
      <c r="B836" s="8">
        <f>26.5338 * CHOOSE(CONTROL!$C$15, $D$11, 100%, $F$11)</f>
        <v>26.533799999999999</v>
      </c>
      <c r="C836" s="8">
        <f>26.5446 * CHOOSE(CONTROL!$C$15, $D$11, 100%, $F$11)</f>
        <v>26.544599999999999</v>
      </c>
      <c r="D836" s="8">
        <f>26.5793 * CHOOSE( CONTROL!$C$15, $D$11, 100%, $F$11)</f>
        <v>26.5793</v>
      </c>
      <c r="E836" s="12">
        <f>26.5666 * CHOOSE( CONTROL!$C$15, $D$11, 100%, $F$11)</f>
        <v>26.566600000000001</v>
      </c>
      <c r="F836" s="4">
        <f>27.2626 * CHOOSE(CONTROL!$C$15, $D$11, 100%, $F$11)</f>
        <v>27.262599999999999</v>
      </c>
      <c r="G836" s="8">
        <f>25.9367 * CHOOSE( CONTROL!$C$15, $D$11, 100%, $F$11)</f>
        <v>25.936699999999998</v>
      </c>
      <c r="H836" s="4">
        <f>26.8888 * CHOOSE(CONTROL!$C$15, $D$11, 100%, $F$11)</f>
        <v>26.8888</v>
      </c>
      <c r="I836" s="8">
        <f>25.586 * CHOOSE(CONTROL!$C$15, $D$11, 100%, $F$11)</f>
        <v>25.585999999999999</v>
      </c>
      <c r="J836" s="4">
        <f>25.4606 * CHOOSE(CONTROL!$C$15, $D$11, 100%, $F$11)</f>
        <v>25.460599999999999</v>
      </c>
      <c r="K836" s="4"/>
      <c r="L836" s="9">
        <v>30.092199999999998</v>
      </c>
      <c r="M836" s="9">
        <v>11.6745</v>
      </c>
      <c r="N836" s="9">
        <v>4.7850000000000001</v>
      </c>
      <c r="O836" s="9">
        <v>0.36199999999999999</v>
      </c>
      <c r="P836" s="9">
        <v>1.1791</v>
      </c>
      <c r="Q836" s="9">
        <v>19.053000000000001</v>
      </c>
      <c r="R836" s="9"/>
      <c r="S836" s="11"/>
    </row>
    <row r="837" spans="1:19" ht="15.75">
      <c r="A837" s="13">
        <v>66992</v>
      </c>
      <c r="B837" s="8">
        <f>CHOOSE( CONTROL!$C$32, 27.2426, 27.2403) * CHOOSE(CONTROL!$C$15, $D$11, 100%, $F$11)</f>
        <v>27.242599999999999</v>
      </c>
      <c r="C837" s="8">
        <f>CHOOSE( CONTROL!$C$32, 27.2532, 27.2508) * CHOOSE(CONTROL!$C$15, $D$11, 100%, $F$11)</f>
        <v>27.2532</v>
      </c>
      <c r="D837" s="8">
        <f>CHOOSE( CONTROL!$C$32, 27.287, 27.2847) * CHOOSE( CONTROL!$C$15, $D$11, 100%, $F$11)</f>
        <v>27.286999999999999</v>
      </c>
      <c r="E837" s="12">
        <f>CHOOSE( CONTROL!$C$32, 27.2731, 27.2708) * CHOOSE( CONTROL!$C$15, $D$11, 100%, $F$11)</f>
        <v>27.273099999999999</v>
      </c>
      <c r="F837" s="4">
        <f>CHOOSE( CONTROL!$C$32, 27.9715, 27.9692) * CHOOSE(CONTROL!$C$15, $D$11, 100%, $F$11)</f>
        <v>27.971499999999999</v>
      </c>
      <c r="G837" s="8">
        <f>CHOOSE( CONTROL!$C$32, 26.6303, 26.628) * CHOOSE( CONTROL!$C$15, $D$11, 100%, $F$11)</f>
        <v>26.630299999999998</v>
      </c>
      <c r="H837" s="4">
        <f>CHOOSE( CONTROL!$C$32, 27.5819, 27.5796) * CHOOSE(CONTROL!$C$15, $D$11, 100%, $F$11)</f>
        <v>27.581900000000001</v>
      </c>
      <c r="I837" s="8">
        <f>CHOOSE( CONTROL!$C$32, 26.267, 26.2648) * CHOOSE(CONTROL!$C$15, $D$11, 100%, $F$11)</f>
        <v>26.266999999999999</v>
      </c>
      <c r="J837" s="4">
        <f>CHOOSE( CONTROL!$C$32, 26.1413, 26.1391) * CHOOSE(CONTROL!$C$15, $D$11, 100%, $F$11)</f>
        <v>26.141300000000001</v>
      </c>
      <c r="K837" s="4"/>
      <c r="L837" s="9">
        <v>30.7165</v>
      </c>
      <c r="M837" s="9">
        <v>12.063700000000001</v>
      </c>
      <c r="N837" s="9">
        <v>4.9444999999999997</v>
      </c>
      <c r="O837" s="9">
        <v>0.37409999999999999</v>
      </c>
      <c r="P837" s="9">
        <v>1.2183999999999999</v>
      </c>
      <c r="Q837" s="9">
        <v>19.688099999999999</v>
      </c>
      <c r="R837" s="9"/>
      <c r="S837" s="11"/>
    </row>
    <row r="838" spans="1:19" ht="15.75">
      <c r="A838" s="13">
        <v>67022</v>
      </c>
      <c r="B838" s="8">
        <f>CHOOSE( CONTROL!$C$32, 26.8049, 26.8026) * CHOOSE(CONTROL!$C$15, $D$11, 100%, $F$11)</f>
        <v>26.8049</v>
      </c>
      <c r="C838" s="8">
        <f>CHOOSE( CONTROL!$C$32, 26.8154, 26.8131) * CHOOSE(CONTROL!$C$15, $D$11, 100%, $F$11)</f>
        <v>26.8154</v>
      </c>
      <c r="D838" s="8">
        <f>CHOOSE( CONTROL!$C$32, 26.8494, 26.8471) * CHOOSE( CONTROL!$C$15, $D$11, 100%, $F$11)</f>
        <v>26.849399999999999</v>
      </c>
      <c r="E838" s="12">
        <f>CHOOSE( CONTROL!$C$32, 26.8355, 26.8332) * CHOOSE( CONTROL!$C$15, $D$11, 100%, $F$11)</f>
        <v>26.8355</v>
      </c>
      <c r="F838" s="4">
        <f>CHOOSE( CONTROL!$C$32, 27.5338, 27.5315) * CHOOSE(CONTROL!$C$15, $D$11, 100%, $F$11)</f>
        <v>27.533799999999999</v>
      </c>
      <c r="G838" s="8">
        <f>CHOOSE( CONTROL!$C$32, 26.2026, 26.2003) * CHOOSE( CONTROL!$C$15, $D$11, 100%, $F$11)</f>
        <v>26.2026</v>
      </c>
      <c r="H838" s="4">
        <f>CHOOSE( CONTROL!$C$32, 27.1539, 27.1516) * CHOOSE(CONTROL!$C$15, $D$11, 100%, $F$11)</f>
        <v>27.1539</v>
      </c>
      <c r="I838" s="8">
        <f>CHOOSE( CONTROL!$C$32, 25.8473, 25.8451) * CHOOSE(CONTROL!$C$15, $D$11, 100%, $F$11)</f>
        <v>25.847300000000001</v>
      </c>
      <c r="J838" s="4">
        <f>CHOOSE( CONTROL!$C$32, 25.721, 25.7188) * CHOOSE(CONTROL!$C$15, $D$11, 100%, $F$11)</f>
        <v>25.721</v>
      </c>
      <c r="K838" s="4"/>
      <c r="L838" s="9">
        <v>29.7257</v>
      </c>
      <c r="M838" s="9">
        <v>11.6745</v>
      </c>
      <c r="N838" s="9">
        <v>4.7850000000000001</v>
      </c>
      <c r="O838" s="9">
        <v>0.36199999999999999</v>
      </c>
      <c r="P838" s="9">
        <v>1.1791</v>
      </c>
      <c r="Q838" s="9">
        <v>19.053000000000001</v>
      </c>
      <c r="R838" s="9"/>
      <c r="S838" s="11"/>
    </row>
    <row r="839" spans="1:19" ht="15.75">
      <c r="A839" s="13">
        <v>67053</v>
      </c>
      <c r="B839" s="8">
        <f>CHOOSE( CONTROL!$C$32, 27.9575, 27.9552) * CHOOSE(CONTROL!$C$15, $D$11, 100%, $F$11)</f>
        <v>27.9575</v>
      </c>
      <c r="C839" s="8">
        <f>CHOOSE( CONTROL!$C$32, 27.9681, 27.9658) * CHOOSE(CONTROL!$C$15, $D$11, 100%, $F$11)</f>
        <v>27.9681</v>
      </c>
      <c r="D839" s="8">
        <f>CHOOSE( CONTROL!$C$32, 28.0023, 28) * CHOOSE( CONTROL!$C$15, $D$11, 100%, $F$11)</f>
        <v>28.002300000000002</v>
      </c>
      <c r="E839" s="12">
        <f>CHOOSE( CONTROL!$C$32, 27.9883, 27.986) * CHOOSE( CONTROL!$C$15, $D$11, 100%, $F$11)</f>
        <v>27.988299999999999</v>
      </c>
      <c r="F839" s="4">
        <f>CHOOSE( CONTROL!$C$32, 28.6865, 28.6842) * CHOOSE(CONTROL!$C$15, $D$11, 100%, $F$11)</f>
        <v>28.686499999999999</v>
      </c>
      <c r="G839" s="8">
        <f>CHOOSE( CONTROL!$C$32, 27.3298, 27.3276) * CHOOSE( CONTROL!$C$15, $D$11, 100%, $F$11)</f>
        <v>27.329799999999999</v>
      </c>
      <c r="H839" s="4">
        <f>CHOOSE( CONTROL!$C$32, 28.2809, 28.2786) * CHOOSE(CONTROL!$C$15, $D$11, 100%, $F$11)</f>
        <v>28.280899999999999</v>
      </c>
      <c r="I839" s="8">
        <f>CHOOSE( CONTROL!$C$32, 26.9555, 26.9533) * CHOOSE(CONTROL!$C$15, $D$11, 100%, $F$11)</f>
        <v>26.955500000000001</v>
      </c>
      <c r="J839" s="4">
        <f>CHOOSE( CONTROL!$C$32, 26.8277, 26.8255) * CHOOSE(CONTROL!$C$15, $D$11, 100%, $F$11)</f>
        <v>26.8277</v>
      </c>
      <c r="K839" s="4"/>
      <c r="L839" s="9">
        <v>30.7165</v>
      </c>
      <c r="M839" s="9">
        <v>12.063700000000001</v>
      </c>
      <c r="N839" s="9">
        <v>4.9444999999999997</v>
      </c>
      <c r="O839" s="9">
        <v>0.37409999999999999</v>
      </c>
      <c r="P839" s="9">
        <v>1.2183999999999999</v>
      </c>
      <c r="Q839" s="9">
        <v>19.688099999999999</v>
      </c>
      <c r="R839" s="9"/>
      <c r="S839" s="11"/>
    </row>
    <row r="840" spans="1:19" ht="15.75">
      <c r="A840" s="13">
        <v>67084</v>
      </c>
      <c r="B840" s="8">
        <f>CHOOSE( CONTROL!$C$32, 25.8008, 25.7985) * CHOOSE(CONTROL!$C$15, $D$11, 100%, $F$11)</f>
        <v>25.800799999999999</v>
      </c>
      <c r="C840" s="8">
        <f>CHOOSE( CONTROL!$C$32, 25.8113, 25.809) * CHOOSE(CONTROL!$C$15, $D$11, 100%, $F$11)</f>
        <v>25.811299999999999</v>
      </c>
      <c r="D840" s="8">
        <f>CHOOSE( CONTROL!$C$32, 25.8456, 25.8433) * CHOOSE( CONTROL!$C$15, $D$11, 100%, $F$11)</f>
        <v>25.845600000000001</v>
      </c>
      <c r="E840" s="12">
        <f>CHOOSE( CONTROL!$C$32, 25.8316, 25.8293) * CHOOSE( CONTROL!$C$15, $D$11, 100%, $F$11)</f>
        <v>25.831600000000002</v>
      </c>
      <c r="F840" s="4">
        <f>CHOOSE( CONTROL!$C$32, 26.5297, 26.5274) * CHOOSE(CONTROL!$C$15, $D$11, 100%, $F$11)</f>
        <v>26.529699999999998</v>
      </c>
      <c r="G840" s="8">
        <f>CHOOSE( CONTROL!$C$32, 25.2213, 25.219) * CHOOSE( CONTROL!$C$15, $D$11, 100%, $F$11)</f>
        <v>25.221299999999999</v>
      </c>
      <c r="H840" s="4">
        <f>CHOOSE( CONTROL!$C$32, 26.1722, 26.1699) * CHOOSE(CONTROL!$C$15, $D$11, 100%, $F$11)</f>
        <v>26.1722</v>
      </c>
      <c r="I840" s="8">
        <f>CHOOSE( CONTROL!$C$32, 24.8841, 24.8819) * CHOOSE(CONTROL!$C$15, $D$11, 100%, $F$11)</f>
        <v>24.8841</v>
      </c>
      <c r="J840" s="4">
        <f>CHOOSE( CONTROL!$C$32, 24.757, 24.7548) * CHOOSE(CONTROL!$C$15, $D$11, 100%, $F$11)</f>
        <v>24.757000000000001</v>
      </c>
      <c r="K840" s="4"/>
      <c r="L840" s="9">
        <v>30.7165</v>
      </c>
      <c r="M840" s="9">
        <v>12.063700000000001</v>
      </c>
      <c r="N840" s="9">
        <v>4.9444999999999997</v>
      </c>
      <c r="O840" s="9">
        <v>0.37409999999999999</v>
      </c>
      <c r="P840" s="9">
        <v>1.2183999999999999</v>
      </c>
      <c r="Q840" s="9">
        <v>19.688099999999999</v>
      </c>
      <c r="R840" s="9"/>
      <c r="S840" s="11"/>
    </row>
    <row r="841" spans="1:19" ht="15.75">
      <c r="A841" s="13">
        <v>67114</v>
      </c>
      <c r="B841" s="8">
        <f>CHOOSE( CONTROL!$C$32, 25.2607, 25.2584) * CHOOSE(CONTROL!$C$15, $D$11, 100%, $F$11)</f>
        <v>25.2607</v>
      </c>
      <c r="C841" s="8">
        <f>CHOOSE( CONTROL!$C$32, 25.2712, 25.2689) * CHOOSE(CONTROL!$C$15, $D$11, 100%, $F$11)</f>
        <v>25.2712</v>
      </c>
      <c r="D841" s="8">
        <f>CHOOSE( CONTROL!$C$32, 25.3055, 25.3032) * CHOOSE( CONTROL!$C$15, $D$11, 100%, $F$11)</f>
        <v>25.305499999999999</v>
      </c>
      <c r="E841" s="12">
        <f>CHOOSE( CONTROL!$C$32, 25.2915, 25.2892) * CHOOSE( CONTROL!$C$15, $D$11, 100%, $F$11)</f>
        <v>25.291499999999999</v>
      </c>
      <c r="F841" s="4">
        <f>CHOOSE( CONTROL!$C$32, 25.9896, 25.9873) * CHOOSE(CONTROL!$C$15, $D$11, 100%, $F$11)</f>
        <v>25.989599999999999</v>
      </c>
      <c r="G841" s="8">
        <f>CHOOSE( CONTROL!$C$32, 24.6932, 24.6909) * CHOOSE( CONTROL!$C$15, $D$11, 100%, $F$11)</f>
        <v>24.693200000000001</v>
      </c>
      <c r="H841" s="4">
        <f>CHOOSE( CONTROL!$C$32, 25.6441, 25.6419) * CHOOSE(CONTROL!$C$15, $D$11, 100%, $F$11)</f>
        <v>25.644100000000002</v>
      </c>
      <c r="I841" s="8">
        <f>CHOOSE( CONTROL!$C$32, 24.3651, 24.3629) * CHOOSE(CONTROL!$C$15, $D$11, 100%, $F$11)</f>
        <v>24.365100000000002</v>
      </c>
      <c r="J841" s="4">
        <f>CHOOSE( CONTROL!$C$32, 24.2384, 24.2362) * CHOOSE(CONTROL!$C$15, $D$11, 100%, $F$11)</f>
        <v>24.238399999999999</v>
      </c>
      <c r="K841" s="4"/>
      <c r="L841" s="9">
        <v>29.7257</v>
      </c>
      <c r="M841" s="9">
        <v>11.6745</v>
      </c>
      <c r="N841" s="9">
        <v>4.7850000000000001</v>
      </c>
      <c r="O841" s="9">
        <v>0.36199999999999999</v>
      </c>
      <c r="P841" s="9">
        <v>1.1791</v>
      </c>
      <c r="Q841" s="9">
        <v>19.053000000000001</v>
      </c>
      <c r="R841" s="9"/>
      <c r="S841" s="11"/>
    </row>
    <row r="842" spans="1:19" ht="15.75">
      <c r="A842" s="13">
        <v>67145</v>
      </c>
      <c r="B842" s="8">
        <f>26.3799 * CHOOSE(CONTROL!$C$15, $D$11, 100%, $F$11)</f>
        <v>26.379899999999999</v>
      </c>
      <c r="C842" s="8">
        <f>26.3906 * CHOOSE(CONTROL!$C$15, $D$11, 100%, $F$11)</f>
        <v>26.390599999999999</v>
      </c>
      <c r="D842" s="8">
        <f>26.426 * CHOOSE( CONTROL!$C$15, $D$11, 100%, $F$11)</f>
        <v>26.425999999999998</v>
      </c>
      <c r="E842" s="12">
        <f>26.4132 * CHOOSE( CONTROL!$C$15, $D$11, 100%, $F$11)</f>
        <v>26.4132</v>
      </c>
      <c r="F842" s="4">
        <f>27.1087 * CHOOSE(CONTROL!$C$15, $D$11, 100%, $F$11)</f>
        <v>27.108699999999999</v>
      </c>
      <c r="G842" s="8">
        <f>25.7871 * CHOOSE( CONTROL!$C$15, $D$11, 100%, $F$11)</f>
        <v>25.787099999999999</v>
      </c>
      <c r="H842" s="4">
        <f>26.7383 * CHOOSE(CONTROL!$C$15, $D$11, 100%, $F$11)</f>
        <v>26.738299999999999</v>
      </c>
      <c r="I842" s="8">
        <f>25.441 * CHOOSE(CONTROL!$C$15, $D$11, 100%, $F$11)</f>
        <v>25.440999999999999</v>
      </c>
      <c r="J842" s="4">
        <f>25.3129 * CHOOSE(CONTROL!$C$15, $D$11, 100%, $F$11)</f>
        <v>25.312899999999999</v>
      </c>
      <c r="K842" s="4"/>
      <c r="L842" s="9">
        <v>31.095300000000002</v>
      </c>
      <c r="M842" s="9">
        <v>12.063700000000001</v>
      </c>
      <c r="N842" s="9">
        <v>4.9444999999999997</v>
      </c>
      <c r="O842" s="9">
        <v>0.37409999999999999</v>
      </c>
      <c r="P842" s="9">
        <v>1.2183999999999999</v>
      </c>
      <c r="Q842" s="9">
        <v>19.688099999999999</v>
      </c>
      <c r="R842" s="9"/>
      <c r="S842" s="11"/>
    </row>
    <row r="843" spans="1:19" ht="15.75">
      <c r="A843" s="13">
        <v>67175</v>
      </c>
      <c r="B843" s="8">
        <f>28.4498 * CHOOSE(CONTROL!$C$15, $D$11, 100%, $F$11)</f>
        <v>28.4498</v>
      </c>
      <c r="C843" s="8">
        <f>28.4606 * CHOOSE(CONTROL!$C$15, $D$11, 100%, $F$11)</f>
        <v>28.460599999999999</v>
      </c>
      <c r="D843" s="8">
        <f>28.4366 * CHOOSE( CONTROL!$C$15, $D$11, 100%, $F$11)</f>
        <v>28.436599999999999</v>
      </c>
      <c r="E843" s="12">
        <f>28.4442 * CHOOSE( CONTROL!$C$15, $D$11, 100%, $F$11)</f>
        <v>28.444199999999999</v>
      </c>
      <c r="F843" s="4">
        <f>29.1109 * CHOOSE(CONTROL!$C$15, $D$11, 100%, $F$11)</f>
        <v>29.110900000000001</v>
      </c>
      <c r="G843" s="8">
        <f>27.8108 * CHOOSE( CONTROL!$C$15, $D$11, 100%, $F$11)</f>
        <v>27.8108</v>
      </c>
      <c r="H843" s="4">
        <f>28.6958 * CHOOSE(CONTROL!$C$15, $D$11, 100%, $F$11)</f>
        <v>28.695799999999998</v>
      </c>
      <c r="I843" s="8">
        <f>27.4726 * CHOOSE(CONTROL!$C$15, $D$11, 100%, $F$11)</f>
        <v>27.4726</v>
      </c>
      <c r="J843" s="4">
        <f>27.3002 * CHOOSE(CONTROL!$C$15, $D$11, 100%, $F$11)</f>
        <v>27.3002</v>
      </c>
      <c r="K843" s="4"/>
      <c r="L843" s="9">
        <v>28.360600000000002</v>
      </c>
      <c r="M843" s="9">
        <v>11.6745</v>
      </c>
      <c r="N843" s="9">
        <v>4.7850000000000001</v>
      </c>
      <c r="O843" s="9">
        <v>0.36199999999999999</v>
      </c>
      <c r="P843" s="9">
        <v>1.2509999999999999</v>
      </c>
      <c r="Q843" s="9">
        <v>19.053000000000001</v>
      </c>
      <c r="R843" s="9"/>
      <c r="S843" s="11"/>
    </row>
    <row r="844" spans="1:19" ht="15.75">
      <c r="A844" s="13">
        <v>67206</v>
      </c>
      <c r="B844" s="8">
        <f>28.3981 * CHOOSE(CONTROL!$C$15, $D$11, 100%, $F$11)</f>
        <v>28.398099999999999</v>
      </c>
      <c r="C844" s="8">
        <f>28.4088 * CHOOSE(CONTROL!$C$15, $D$11, 100%, $F$11)</f>
        <v>28.408799999999999</v>
      </c>
      <c r="D844" s="8">
        <f>28.3866 * CHOOSE( CONTROL!$C$15, $D$11, 100%, $F$11)</f>
        <v>28.386600000000001</v>
      </c>
      <c r="E844" s="12">
        <f>28.3936 * CHOOSE( CONTROL!$C$15, $D$11, 100%, $F$11)</f>
        <v>28.393599999999999</v>
      </c>
      <c r="F844" s="4">
        <f>29.0592 * CHOOSE(CONTROL!$C$15, $D$11, 100%, $F$11)</f>
        <v>29.059200000000001</v>
      </c>
      <c r="G844" s="8">
        <f>27.7615 * CHOOSE( CONTROL!$C$15, $D$11, 100%, $F$11)</f>
        <v>27.761500000000002</v>
      </c>
      <c r="H844" s="4">
        <f>28.6453 * CHOOSE(CONTROL!$C$15, $D$11, 100%, $F$11)</f>
        <v>28.645299999999999</v>
      </c>
      <c r="I844" s="8">
        <f>27.4281 * CHOOSE(CONTROL!$C$15, $D$11, 100%, $F$11)</f>
        <v>27.428100000000001</v>
      </c>
      <c r="J844" s="4">
        <f>27.2505 * CHOOSE(CONTROL!$C$15, $D$11, 100%, $F$11)</f>
        <v>27.250499999999999</v>
      </c>
      <c r="K844" s="4"/>
      <c r="L844" s="9">
        <v>29.306000000000001</v>
      </c>
      <c r="M844" s="9">
        <v>12.063700000000001</v>
      </c>
      <c r="N844" s="9">
        <v>4.9444999999999997</v>
      </c>
      <c r="O844" s="9">
        <v>0.37409999999999999</v>
      </c>
      <c r="P844" s="9">
        <v>1.2927</v>
      </c>
      <c r="Q844" s="9">
        <v>19.688099999999999</v>
      </c>
      <c r="R844" s="9"/>
      <c r="S844" s="11"/>
    </row>
    <row r="845" spans="1:19" ht="15.75">
      <c r="A845" s="13">
        <v>67237</v>
      </c>
      <c r="B845" s="8">
        <f>29.2353 * CHOOSE(CONTROL!$C$15, $D$11, 100%, $F$11)</f>
        <v>29.235299999999999</v>
      </c>
      <c r="C845" s="8">
        <f>29.246 * CHOOSE(CONTROL!$C$15, $D$11, 100%, $F$11)</f>
        <v>29.245999999999999</v>
      </c>
      <c r="D845" s="8">
        <f>29.2276 * CHOOSE( CONTROL!$C$15, $D$11, 100%, $F$11)</f>
        <v>29.227599999999999</v>
      </c>
      <c r="E845" s="12">
        <f>29.2332 * CHOOSE( CONTROL!$C$15, $D$11, 100%, $F$11)</f>
        <v>29.2332</v>
      </c>
      <c r="F845" s="4">
        <f>29.8964 * CHOOSE(CONTROL!$C$15, $D$11, 100%, $F$11)</f>
        <v>29.8964</v>
      </c>
      <c r="G845" s="8">
        <f>28.5756 * CHOOSE( CONTROL!$C$15, $D$11, 100%, $F$11)</f>
        <v>28.575600000000001</v>
      </c>
      <c r="H845" s="4">
        <f>29.4638 * CHOOSE(CONTROL!$C$15, $D$11, 100%, $F$11)</f>
        <v>29.463799999999999</v>
      </c>
      <c r="I845" s="8">
        <f>28.1877 * CHOOSE(CONTROL!$C$15, $D$11, 100%, $F$11)</f>
        <v>28.1877</v>
      </c>
      <c r="J845" s="4">
        <f>28.0543 * CHOOSE(CONTROL!$C$15, $D$11, 100%, $F$11)</f>
        <v>28.054300000000001</v>
      </c>
      <c r="K845" s="4"/>
      <c r="L845" s="9">
        <v>29.306000000000001</v>
      </c>
      <c r="M845" s="9">
        <v>12.063700000000001</v>
      </c>
      <c r="N845" s="9">
        <v>4.9444999999999997</v>
      </c>
      <c r="O845" s="9">
        <v>0.37409999999999999</v>
      </c>
      <c r="P845" s="9">
        <v>1.2927</v>
      </c>
      <c r="Q845" s="9">
        <v>19.688099999999999</v>
      </c>
      <c r="R845" s="9"/>
      <c r="S845" s="11"/>
    </row>
    <row r="846" spans="1:19" ht="15.75">
      <c r="A846" s="13">
        <v>67266</v>
      </c>
      <c r="B846" s="8">
        <f>27.3462 * CHOOSE(CONTROL!$C$15, $D$11, 100%, $F$11)</f>
        <v>27.3462</v>
      </c>
      <c r="C846" s="8">
        <f>27.357 * CHOOSE(CONTROL!$C$15, $D$11, 100%, $F$11)</f>
        <v>27.356999999999999</v>
      </c>
      <c r="D846" s="8">
        <f>27.3385 * CHOOSE( CONTROL!$C$15, $D$11, 100%, $F$11)</f>
        <v>27.3385</v>
      </c>
      <c r="E846" s="12">
        <f>27.3441 * CHOOSE( CONTROL!$C$15, $D$11, 100%, $F$11)</f>
        <v>27.344100000000001</v>
      </c>
      <c r="F846" s="4">
        <f>28.0074 * CHOOSE(CONTROL!$C$15, $D$11, 100%, $F$11)</f>
        <v>28.007400000000001</v>
      </c>
      <c r="G846" s="8">
        <f>26.7286 * CHOOSE( CONTROL!$C$15, $D$11, 100%, $F$11)</f>
        <v>26.7286</v>
      </c>
      <c r="H846" s="4">
        <f>27.6169 * CHOOSE(CONTROL!$C$15, $D$11, 100%, $F$11)</f>
        <v>27.616900000000001</v>
      </c>
      <c r="I846" s="8">
        <f>26.3727 * CHOOSE(CONTROL!$C$15, $D$11, 100%, $F$11)</f>
        <v>26.372699999999998</v>
      </c>
      <c r="J846" s="4">
        <f>26.2407 * CHOOSE(CONTROL!$C$15, $D$11, 100%, $F$11)</f>
        <v>26.2407</v>
      </c>
      <c r="K846" s="4"/>
      <c r="L846" s="9">
        <v>27.415299999999998</v>
      </c>
      <c r="M846" s="9">
        <v>11.285299999999999</v>
      </c>
      <c r="N846" s="9">
        <v>4.6254999999999997</v>
      </c>
      <c r="O846" s="9">
        <v>0.34989999999999999</v>
      </c>
      <c r="P846" s="9">
        <v>1.2093</v>
      </c>
      <c r="Q846" s="9">
        <v>18.417899999999999</v>
      </c>
      <c r="R846" s="9"/>
      <c r="S846" s="11"/>
    </row>
    <row r="847" spans="1:19" ht="15.75">
      <c r="A847" s="13">
        <v>67297</v>
      </c>
      <c r="B847" s="8">
        <f>26.7644 * CHOOSE(CONTROL!$C$15, $D$11, 100%, $F$11)</f>
        <v>26.764399999999998</v>
      </c>
      <c r="C847" s="8">
        <f>26.7752 * CHOOSE(CONTROL!$C$15, $D$11, 100%, $F$11)</f>
        <v>26.775200000000002</v>
      </c>
      <c r="D847" s="8">
        <f>26.7561 * CHOOSE( CONTROL!$C$15, $D$11, 100%, $F$11)</f>
        <v>26.7561</v>
      </c>
      <c r="E847" s="12">
        <f>26.7619 * CHOOSE( CONTROL!$C$15, $D$11, 100%, $F$11)</f>
        <v>26.761900000000001</v>
      </c>
      <c r="F847" s="4">
        <f>27.4255 * CHOOSE(CONTROL!$C$15, $D$11, 100%, $F$11)</f>
        <v>27.4255</v>
      </c>
      <c r="G847" s="8">
        <f>26.1594 * CHOOSE( CONTROL!$C$15, $D$11, 100%, $F$11)</f>
        <v>26.159400000000002</v>
      </c>
      <c r="H847" s="4">
        <f>27.048 * CHOOSE(CONTROL!$C$15, $D$11, 100%, $F$11)</f>
        <v>27.047999999999998</v>
      </c>
      <c r="I847" s="8">
        <f>25.8122 * CHOOSE(CONTROL!$C$15, $D$11, 100%, $F$11)</f>
        <v>25.812200000000001</v>
      </c>
      <c r="J847" s="4">
        <f>25.6821 * CHOOSE(CONTROL!$C$15, $D$11, 100%, $F$11)</f>
        <v>25.682099999999998</v>
      </c>
      <c r="K847" s="4"/>
      <c r="L847" s="9">
        <v>29.306000000000001</v>
      </c>
      <c r="M847" s="9">
        <v>12.063700000000001</v>
      </c>
      <c r="N847" s="9">
        <v>4.9444999999999997</v>
      </c>
      <c r="O847" s="9">
        <v>0.37409999999999999</v>
      </c>
      <c r="P847" s="9">
        <v>1.2927</v>
      </c>
      <c r="Q847" s="9">
        <v>19.688099999999999</v>
      </c>
      <c r="R847" s="9"/>
      <c r="S847" s="11"/>
    </row>
    <row r="848" spans="1:19" ht="15.75">
      <c r="A848" s="13">
        <v>67327</v>
      </c>
      <c r="B848" s="8">
        <f>27.1709 * CHOOSE(CONTROL!$C$15, $D$11, 100%, $F$11)</f>
        <v>27.1709</v>
      </c>
      <c r="C848" s="8">
        <f>27.1817 * CHOOSE(CONTROL!$C$15, $D$11, 100%, $F$11)</f>
        <v>27.181699999999999</v>
      </c>
      <c r="D848" s="8">
        <f>27.2165 * CHOOSE( CONTROL!$C$15, $D$11, 100%, $F$11)</f>
        <v>27.2165</v>
      </c>
      <c r="E848" s="12">
        <f>27.2038 * CHOOSE( CONTROL!$C$15, $D$11, 100%, $F$11)</f>
        <v>27.203800000000001</v>
      </c>
      <c r="F848" s="4">
        <f>27.8998 * CHOOSE(CONTROL!$C$15, $D$11, 100%, $F$11)</f>
        <v>27.899799999999999</v>
      </c>
      <c r="G848" s="8">
        <f>26.5596 * CHOOSE( CONTROL!$C$15, $D$11, 100%, $F$11)</f>
        <v>26.5596</v>
      </c>
      <c r="H848" s="4">
        <f>27.5117 * CHOOSE(CONTROL!$C$15, $D$11, 100%, $F$11)</f>
        <v>27.511700000000001</v>
      </c>
      <c r="I848" s="8">
        <f>26.1981 * CHOOSE(CONTROL!$C$15, $D$11, 100%, $F$11)</f>
        <v>26.1981</v>
      </c>
      <c r="J848" s="4">
        <f>26.0724 * CHOOSE(CONTROL!$C$15, $D$11, 100%, $F$11)</f>
        <v>26.072399999999998</v>
      </c>
      <c r="K848" s="4"/>
      <c r="L848" s="9">
        <v>30.092199999999998</v>
      </c>
      <c r="M848" s="9">
        <v>11.6745</v>
      </c>
      <c r="N848" s="9">
        <v>4.7850000000000001</v>
      </c>
      <c r="O848" s="9">
        <v>0.36199999999999999</v>
      </c>
      <c r="P848" s="9">
        <v>1.1791</v>
      </c>
      <c r="Q848" s="9">
        <v>19.053000000000001</v>
      </c>
      <c r="R848" s="9"/>
      <c r="S848" s="11"/>
    </row>
    <row r="849" spans="1:19" ht="15.75">
      <c r="A849" s="13">
        <v>67358</v>
      </c>
      <c r="B849" s="8">
        <f>CHOOSE( CONTROL!$C$32, 27.8967, 27.8944) * CHOOSE(CONTROL!$C$15, $D$11, 100%, $F$11)</f>
        <v>27.896699999999999</v>
      </c>
      <c r="C849" s="8">
        <f>CHOOSE( CONTROL!$C$32, 27.9073, 27.905) * CHOOSE(CONTROL!$C$15, $D$11, 100%, $F$11)</f>
        <v>27.907299999999999</v>
      </c>
      <c r="D849" s="8">
        <f>CHOOSE( CONTROL!$C$32, 27.9411, 27.9388) * CHOOSE( CONTROL!$C$15, $D$11, 100%, $F$11)</f>
        <v>27.941099999999999</v>
      </c>
      <c r="E849" s="12">
        <f>CHOOSE( CONTROL!$C$32, 27.9272, 27.9249) * CHOOSE( CONTROL!$C$15, $D$11, 100%, $F$11)</f>
        <v>27.927199999999999</v>
      </c>
      <c r="F849" s="4">
        <f>CHOOSE( CONTROL!$C$32, 28.6257, 28.6234) * CHOOSE(CONTROL!$C$15, $D$11, 100%, $F$11)</f>
        <v>28.625699999999998</v>
      </c>
      <c r="G849" s="8">
        <f>CHOOSE( CONTROL!$C$32, 27.2698, 27.2676) * CHOOSE( CONTROL!$C$15, $D$11, 100%, $F$11)</f>
        <v>27.2698</v>
      </c>
      <c r="H849" s="4">
        <f>CHOOSE( CONTROL!$C$32, 28.2214, 28.2192) * CHOOSE(CONTROL!$C$15, $D$11, 100%, $F$11)</f>
        <v>28.221399999999999</v>
      </c>
      <c r="I849" s="8">
        <f>CHOOSE( CONTROL!$C$32, 26.8954, 26.8932) * CHOOSE(CONTROL!$C$15, $D$11, 100%, $F$11)</f>
        <v>26.895399999999999</v>
      </c>
      <c r="J849" s="4">
        <f>CHOOSE( CONTROL!$C$32, 26.7693, 26.7671) * CHOOSE(CONTROL!$C$15, $D$11, 100%, $F$11)</f>
        <v>26.769300000000001</v>
      </c>
      <c r="K849" s="4"/>
      <c r="L849" s="9">
        <v>30.7165</v>
      </c>
      <c r="M849" s="9">
        <v>12.063700000000001</v>
      </c>
      <c r="N849" s="9">
        <v>4.9444999999999997</v>
      </c>
      <c r="O849" s="9">
        <v>0.37409999999999999</v>
      </c>
      <c r="P849" s="9">
        <v>1.2183999999999999</v>
      </c>
      <c r="Q849" s="9">
        <v>19.688099999999999</v>
      </c>
      <c r="R849" s="9"/>
      <c r="S849" s="11"/>
    </row>
    <row r="850" spans="1:19" ht="15.75">
      <c r="A850" s="13">
        <v>67388</v>
      </c>
      <c r="B850" s="8">
        <f>CHOOSE( CONTROL!$C$32, 27.4485, 27.4462) * CHOOSE(CONTROL!$C$15, $D$11, 100%, $F$11)</f>
        <v>27.448499999999999</v>
      </c>
      <c r="C850" s="8">
        <f>CHOOSE( CONTROL!$C$32, 27.4591, 27.4568) * CHOOSE(CONTROL!$C$15, $D$11, 100%, $F$11)</f>
        <v>27.459099999999999</v>
      </c>
      <c r="D850" s="8">
        <f>CHOOSE( CONTROL!$C$32, 27.4931, 27.4908) * CHOOSE( CONTROL!$C$15, $D$11, 100%, $F$11)</f>
        <v>27.493099999999998</v>
      </c>
      <c r="E850" s="12">
        <f>CHOOSE( CONTROL!$C$32, 27.4792, 27.4769) * CHOOSE( CONTROL!$C$15, $D$11, 100%, $F$11)</f>
        <v>27.479199999999999</v>
      </c>
      <c r="F850" s="4">
        <f>CHOOSE( CONTROL!$C$32, 28.1774, 28.1751) * CHOOSE(CONTROL!$C$15, $D$11, 100%, $F$11)</f>
        <v>28.177399999999999</v>
      </c>
      <c r="G850" s="8">
        <f>CHOOSE( CONTROL!$C$32, 26.8318, 26.8296) * CHOOSE( CONTROL!$C$15, $D$11, 100%, $F$11)</f>
        <v>26.831800000000001</v>
      </c>
      <c r="H850" s="4">
        <f>CHOOSE( CONTROL!$C$32, 27.7832, 27.7809) * CHOOSE(CONTROL!$C$15, $D$11, 100%, $F$11)</f>
        <v>27.783200000000001</v>
      </c>
      <c r="I850" s="8">
        <f>CHOOSE( CONTROL!$C$32, 26.4656, 26.4634) * CHOOSE(CONTROL!$C$15, $D$11, 100%, $F$11)</f>
        <v>26.465599999999998</v>
      </c>
      <c r="J850" s="4">
        <f>CHOOSE( CONTROL!$C$32, 26.339, 26.3368) * CHOOSE(CONTROL!$C$15, $D$11, 100%, $F$11)</f>
        <v>26.338999999999999</v>
      </c>
      <c r="K850" s="4"/>
      <c r="L850" s="9">
        <v>29.7257</v>
      </c>
      <c r="M850" s="9">
        <v>11.6745</v>
      </c>
      <c r="N850" s="9">
        <v>4.7850000000000001</v>
      </c>
      <c r="O850" s="9">
        <v>0.36199999999999999</v>
      </c>
      <c r="P850" s="9">
        <v>1.1791</v>
      </c>
      <c r="Q850" s="9">
        <v>19.053000000000001</v>
      </c>
      <c r="R850" s="9"/>
      <c r="S850" s="11"/>
    </row>
    <row r="851" spans="1:19" ht="15.75">
      <c r="A851" s="13">
        <v>67419</v>
      </c>
      <c r="B851" s="8">
        <f>CHOOSE( CONTROL!$C$32, 28.6289, 28.6266) * CHOOSE(CONTROL!$C$15, $D$11, 100%, $F$11)</f>
        <v>28.628900000000002</v>
      </c>
      <c r="C851" s="8">
        <f>CHOOSE( CONTROL!$C$32, 28.6394, 28.6371) * CHOOSE(CONTROL!$C$15, $D$11, 100%, $F$11)</f>
        <v>28.639399999999998</v>
      </c>
      <c r="D851" s="8">
        <f>CHOOSE( CONTROL!$C$32, 28.6736, 28.6713) * CHOOSE( CONTROL!$C$15, $D$11, 100%, $F$11)</f>
        <v>28.6736</v>
      </c>
      <c r="E851" s="12">
        <f>CHOOSE( CONTROL!$C$32, 28.6596, 28.6573) * CHOOSE( CONTROL!$C$15, $D$11, 100%, $F$11)</f>
        <v>28.659600000000001</v>
      </c>
      <c r="F851" s="4">
        <f>CHOOSE( CONTROL!$C$32, 29.3578, 29.3555) * CHOOSE(CONTROL!$C$15, $D$11, 100%, $F$11)</f>
        <v>29.357800000000001</v>
      </c>
      <c r="G851" s="8">
        <f>CHOOSE( CONTROL!$C$32, 27.9862, 27.984) * CHOOSE( CONTROL!$C$15, $D$11, 100%, $F$11)</f>
        <v>27.9862</v>
      </c>
      <c r="H851" s="4">
        <f>CHOOSE( CONTROL!$C$32, 28.9372, 28.935) * CHOOSE(CONTROL!$C$15, $D$11, 100%, $F$11)</f>
        <v>28.937200000000001</v>
      </c>
      <c r="I851" s="8">
        <f>CHOOSE( CONTROL!$C$32, 27.6004, 27.5982) * CHOOSE(CONTROL!$C$15, $D$11, 100%, $F$11)</f>
        <v>27.6004</v>
      </c>
      <c r="J851" s="4">
        <f>CHOOSE( CONTROL!$C$32, 27.4723, 27.47) * CHOOSE(CONTROL!$C$15, $D$11, 100%, $F$11)</f>
        <v>27.472300000000001</v>
      </c>
      <c r="K851" s="4"/>
      <c r="L851" s="9">
        <v>30.7165</v>
      </c>
      <c r="M851" s="9">
        <v>12.063700000000001</v>
      </c>
      <c r="N851" s="9">
        <v>4.9444999999999997</v>
      </c>
      <c r="O851" s="9">
        <v>0.37409999999999999</v>
      </c>
      <c r="P851" s="9">
        <v>1.2183999999999999</v>
      </c>
      <c r="Q851" s="9">
        <v>19.688099999999999</v>
      </c>
      <c r="R851" s="9"/>
      <c r="S851" s="11"/>
    </row>
    <row r="852" spans="1:19" ht="15.75">
      <c r="A852" s="13">
        <v>67450</v>
      </c>
      <c r="B852" s="8">
        <f>CHOOSE( CONTROL!$C$32, 26.4203, 26.418) * CHOOSE(CONTROL!$C$15, $D$11, 100%, $F$11)</f>
        <v>26.420300000000001</v>
      </c>
      <c r="C852" s="8">
        <f>CHOOSE( CONTROL!$C$32, 26.4308, 26.4285) * CHOOSE(CONTROL!$C$15, $D$11, 100%, $F$11)</f>
        <v>26.430800000000001</v>
      </c>
      <c r="D852" s="8">
        <f>CHOOSE( CONTROL!$C$32, 26.4651, 26.4628) * CHOOSE( CONTROL!$C$15, $D$11, 100%, $F$11)</f>
        <v>26.4651</v>
      </c>
      <c r="E852" s="12">
        <f>CHOOSE( CONTROL!$C$32, 26.4511, 26.4488) * CHOOSE( CONTROL!$C$15, $D$11, 100%, $F$11)</f>
        <v>26.4511</v>
      </c>
      <c r="F852" s="4">
        <f>CHOOSE( CONTROL!$C$32, 27.1492, 27.1469) * CHOOSE(CONTROL!$C$15, $D$11, 100%, $F$11)</f>
        <v>27.1492</v>
      </c>
      <c r="G852" s="8">
        <f>CHOOSE( CONTROL!$C$32, 25.827, 25.8247) * CHOOSE( CONTROL!$C$15, $D$11, 100%, $F$11)</f>
        <v>25.827000000000002</v>
      </c>
      <c r="H852" s="4">
        <f>CHOOSE( CONTROL!$C$32, 26.7779, 26.7756) * CHOOSE(CONTROL!$C$15, $D$11, 100%, $F$11)</f>
        <v>26.777899999999999</v>
      </c>
      <c r="I852" s="8">
        <f>CHOOSE( CONTROL!$C$32, 25.4792, 25.4769) * CHOOSE(CONTROL!$C$15, $D$11, 100%, $F$11)</f>
        <v>25.479199999999999</v>
      </c>
      <c r="J852" s="4">
        <f>CHOOSE( CONTROL!$C$32, 25.3518, 25.3496) * CHOOSE(CONTROL!$C$15, $D$11, 100%, $F$11)</f>
        <v>25.351800000000001</v>
      </c>
      <c r="K852" s="4"/>
      <c r="L852" s="9">
        <v>30.7165</v>
      </c>
      <c r="M852" s="9">
        <v>12.063700000000001</v>
      </c>
      <c r="N852" s="9">
        <v>4.9444999999999997</v>
      </c>
      <c r="O852" s="9">
        <v>0.37409999999999999</v>
      </c>
      <c r="P852" s="9">
        <v>1.2183999999999999</v>
      </c>
      <c r="Q852" s="9">
        <v>19.688099999999999</v>
      </c>
      <c r="R852" s="9"/>
      <c r="S852" s="11"/>
    </row>
    <row r="853" spans="1:19" ht="15.75">
      <c r="A853" s="13">
        <v>67480</v>
      </c>
      <c r="B853" s="8">
        <f>CHOOSE( CONTROL!$C$32, 25.8672, 25.8649) * CHOOSE(CONTROL!$C$15, $D$11, 100%, $F$11)</f>
        <v>25.8672</v>
      </c>
      <c r="C853" s="8">
        <f>CHOOSE( CONTROL!$C$32, 25.8778, 25.8755) * CHOOSE(CONTROL!$C$15, $D$11, 100%, $F$11)</f>
        <v>25.877800000000001</v>
      </c>
      <c r="D853" s="8">
        <f>CHOOSE( CONTROL!$C$32, 25.912, 25.9097) * CHOOSE( CONTROL!$C$15, $D$11, 100%, $F$11)</f>
        <v>25.911999999999999</v>
      </c>
      <c r="E853" s="12">
        <f>CHOOSE( CONTROL!$C$32, 25.898, 25.8957) * CHOOSE( CONTROL!$C$15, $D$11, 100%, $F$11)</f>
        <v>25.898</v>
      </c>
      <c r="F853" s="4">
        <f>CHOOSE( CONTROL!$C$32, 26.5962, 26.5938) * CHOOSE(CONTROL!$C$15, $D$11, 100%, $F$11)</f>
        <v>26.5962</v>
      </c>
      <c r="G853" s="8">
        <f>CHOOSE( CONTROL!$C$32, 25.2862, 25.2839) * CHOOSE( CONTROL!$C$15, $D$11, 100%, $F$11)</f>
        <v>25.286200000000001</v>
      </c>
      <c r="H853" s="4">
        <f>CHOOSE( CONTROL!$C$32, 26.2372, 26.2349) * CHOOSE(CONTROL!$C$15, $D$11, 100%, $F$11)</f>
        <v>26.237200000000001</v>
      </c>
      <c r="I853" s="8">
        <f>CHOOSE( CONTROL!$C$32, 24.9478, 24.9455) * CHOOSE(CONTROL!$C$15, $D$11, 100%, $F$11)</f>
        <v>24.947800000000001</v>
      </c>
      <c r="J853" s="4">
        <f>CHOOSE( CONTROL!$C$32, 24.8208, 24.8186) * CHOOSE(CONTROL!$C$15, $D$11, 100%, $F$11)</f>
        <v>24.820799999999998</v>
      </c>
      <c r="K853" s="4"/>
      <c r="L853" s="9">
        <v>29.7257</v>
      </c>
      <c r="M853" s="9">
        <v>11.6745</v>
      </c>
      <c r="N853" s="9">
        <v>4.7850000000000001</v>
      </c>
      <c r="O853" s="9">
        <v>0.36199999999999999</v>
      </c>
      <c r="P853" s="9">
        <v>1.1791</v>
      </c>
      <c r="Q853" s="9">
        <v>19.053000000000001</v>
      </c>
      <c r="R853" s="9"/>
      <c r="S853" s="11"/>
    </row>
    <row r="854" spans="1:19" ht="15.75">
      <c r="A854" s="13">
        <v>67511</v>
      </c>
      <c r="B854" s="8">
        <f>27.0134 * CHOOSE(CONTROL!$C$15, $D$11, 100%, $F$11)</f>
        <v>27.013400000000001</v>
      </c>
      <c r="C854" s="8">
        <f>27.0241 * CHOOSE(CONTROL!$C$15, $D$11, 100%, $F$11)</f>
        <v>27.024100000000001</v>
      </c>
      <c r="D854" s="8">
        <f>27.0595 * CHOOSE( CONTROL!$C$15, $D$11, 100%, $F$11)</f>
        <v>27.0595</v>
      </c>
      <c r="E854" s="12">
        <f>27.0467 * CHOOSE( CONTROL!$C$15, $D$11, 100%, $F$11)</f>
        <v>27.046700000000001</v>
      </c>
      <c r="F854" s="4">
        <f>27.7422 * CHOOSE(CONTROL!$C$15, $D$11, 100%, $F$11)</f>
        <v>27.7422</v>
      </c>
      <c r="G854" s="8">
        <f>26.4065 * CHOOSE( CONTROL!$C$15, $D$11, 100%, $F$11)</f>
        <v>26.406500000000001</v>
      </c>
      <c r="H854" s="4">
        <f>27.3576 * CHOOSE(CONTROL!$C$15, $D$11, 100%, $F$11)</f>
        <v>27.357600000000001</v>
      </c>
      <c r="I854" s="8">
        <f>26.0495 * CHOOSE(CONTROL!$C$15, $D$11, 100%, $F$11)</f>
        <v>26.049499999999998</v>
      </c>
      <c r="J854" s="4">
        <f>25.9211 * CHOOSE(CONTROL!$C$15, $D$11, 100%, $F$11)</f>
        <v>25.921099999999999</v>
      </c>
      <c r="K854" s="4"/>
      <c r="L854" s="9">
        <v>31.095300000000002</v>
      </c>
      <c r="M854" s="9">
        <v>12.063700000000001</v>
      </c>
      <c r="N854" s="9">
        <v>4.9444999999999997</v>
      </c>
      <c r="O854" s="9">
        <v>0.37409999999999999</v>
      </c>
      <c r="P854" s="9">
        <v>1.2183999999999999</v>
      </c>
      <c r="Q854" s="9">
        <v>19.688099999999999</v>
      </c>
      <c r="R854" s="9"/>
      <c r="S854" s="11"/>
    </row>
    <row r="855" spans="1:19" ht="15.75">
      <c r="A855" s="13">
        <v>67541</v>
      </c>
      <c r="B855" s="8">
        <f>29.133 * CHOOSE(CONTROL!$C$15, $D$11, 100%, $F$11)</f>
        <v>29.132999999999999</v>
      </c>
      <c r="C855" s="8">
        <f>29.1438 * CHOOSE(CONTROL!$C$15, $D$11, 100%, $F$11)</f>
        <v>29.143799999999999</v>
      </c>
      <c r="D855" s="8">
        <f>29.1198 * CHOOSE( CONTROL!$C$15, $D$11, 100%, $F$11)</f>
        <v>29.119800000000001</v>
      </c>
      <c r="E855" s="12">
        <f>29.1274 * CHOOSE( CONTROL!$C$15, $D$11, 100%, $F$11)</f>
        <v>29.127400000000002</v>
      </c>
      <c r="F855" s="4">
        <f>29.7941 * CHOOSE(CONTROL!$C$15, $D$11, 100%, $F$11)</f>
        <v>29.7941</v>
      </c>
      <c r="G855" s="8">
        <f>28.4788 * CHOOSE( CONTROL!$C$15, $D$11, 100%, $F$11)</f>
        <v>28.4788</v>
      </c>
      <c r="H855" s="4">
        <f>29.3638 * CHOOSE(CONTROL!$C$15, $D$11, 100%, $F$11)</f>
        <v>29.363800000000001</v>
      </c>
      <c r="I855" s="8">
        <f>28.1289 * CHOOSE(CONTROL!$C$15, $D$11, 100%, $F$11)</f>
        <v>28.128900000000002</v>
      </c>
      <c r="J855" s="4">
        <f>27.9561 * CHOOSE(CONTROL!$C$15, $D$11, 100%, $F$11)</f>
        <v>27.956099999999999</v>
      </c>
      <c r="K855" s="4"/>
      <c r="L855" s="9">
        <v>28.360600000000002</v>
      </c>
      <c r="M855" s="9">
        <v>11.6745</v>
      </c>
      <c r="N855" s="9">
        <v>4.7850000000000001</v>
      </c>
      <c r="O855" s="9">
        <v>0.36199999999999999</v>
      </c>
      <c r="P855" s="9">
        <v>1.2509999999999999</v>
      </c>
      <c r="Q855" s="9">
        <v>19.053000000000001</v>
      </c>
      <c r="R855" s="9"/>
      <c r="S855" s="11"/>
    </row>
    <row r="856" spans="1:19" ht="15.75">
      <c r="A856" s="13">
        <v>67572</v>
      </c>
      <c r="B856" s="8">
        <f>29.08 * CHOOSE(CONTROL!$C$15, $D$11, 100%, $F$11)</f>
        <v>29.08</v>
      </c>
      <c r="C856" s="8">
        <f>29.0908 * CHOOSE(CONTROL!$C$15, $D$11, 100%, $F$11)</f>
        <v>29.090800000000002</v>
      </c>
      <c r="D856" s="8">
        <f>29.0685 * CHOOSE( CONTROL!$C$15, $D$11, 100%, $F$11)</f>
        <v>29.0685</v>
      </c>
      <c r="E856" s="12">
        <f>29.0755 * CHOOSE( CONTROL!$C$15, $D$11, 100%, $F$11)</f>
        <v>29.075500000000002</v>
      </c>
      <c r="F856" s="4">
        <f>29.7412 * CHOOSE(CONTROL!$C$15, $D$11, 100%, $F$11)</f>
        <v>29.741199999999999</v>
      </c>
      <c r="G856" s="8">
        <f>28.4282 * CHOOSE( CONTROL!$C$15, $D$11, 100%, $F$11)</f>
        <v>28.4282</v>
      </c>
      <c r="H856" s="4">
        <f>29.312 * CHOOSE(CONTROL!$C$15, $D$11, 100%, $F$11)</f>
        <v>29.312000000000001</v>
      </c>
      <c r="I856" s="8">
        <f>28.0832 * CHOOSE(CONTROL!$C$15, $D$11, 100%, $F$11)</f>
        <v>28.083200000000001</v>
      </c>
      <c r="J856" s="4">
        <f>27.9053 * CHOOSE(CONTROL!$C$15, $D$11, 100%, $F$11)</f>
        <v>27.9053</v>
      </c>
      <c r="K856" s="4"/>
      <c r="L856" s="9">
        <v>29.306000000000001</v>
      </c>
      <c r="M856" s="9">
        <v>12.063700000000001</v>
      </c>
      <c r="N856" s="9">
        <v>4.9444999999999997</v>
      </c>
      <c r="O856" s="9">
        <v>0.37409999999999999</v>
      </c>
      <c r="P856" s="9">
        <v>1.2927</v>
      </c>
      <c r="Q856" s="9">
        <v>19.688099999999999</v>
      </c>
      <c r="R856" s="9"/>
      <c r="S856" s="11"/>
    </row>
    <row r="857" spans="1:19" ht="15.75">
      <c r="A857" s="13">
        <v>67603</v>
      </c>
      <c r="B857" s="8">
        <f>29.9374 * CHOOSE(CONTROL!$C$15, $D$11, 100%, $F$11)</f>
        <v>29.9374</v>
      </c>
      <c r="C857" s="8">
        <f>29.9481 * CHOOSE(CONTROL!$C$15, $D$11, 100%, $F$11)</f>
        <v>29.9481</v>
      </c>
      <c r="D857" s="8">
        <f>29.9297 * CHOOSE( CONTROL!$C$15, $D$11, 100%, $F$11)</f>
        <v>29.9297</v>
      </c>
      <c r="E857" s="12">
        <f>29.9353 * CHOOSE( CONTROL!$C$15, $D$11, 100%, $F$11)</f>
        <v>29.935300000000002</v>
      </c>
      <c r="F857" s="4">
        <f>30.5985 * CHOOSE(CONTROL!$C$15, $D$11, 100%, $F$11)</f>
        <v>30.598500000000001</v>
      </c>
      <c r="G857" s="8">
        <f>29.2621 * CHOOSE( CONTROL!$C$15, $D$11, 100%, $F$11)</f>
        <v>29.2621</v>
      </c>
      <c r="H857" s="4">
        <f>30.1502 * CHOOSE(CONTROL!$C$15, $D$11, 100%, $F$11)</f>
        <v>30.150200000000002</v>
      </c>
      <c r="I857" s="8">
        <f>28.8621 * CHOOSE(CONTROL!$C$15, $D$11, 100%, $F$11)</f>
        <v>28.862100000000002</v>
      </c>
      <c r="J857" s="4">
        <f>28.7284 * CHOOSE(CONTROL!$C$15, $D$11, 100%, $F$11)</f>
        <v>28.728400000000001</v>
      </c>
      <c r="K857" s="4"/>
      <c r="L857" s="9">
        <v>29.306000000000001</v>
      </c>
      <c r="M857" s="9">
        <v>12.063700000000001</v>
      </c>
      <c r="N857" s="9">
        <v>4.9444999999999997</v>
      </c>
      <c r="O857" s="9">
        <v>0.37409999999999999</v>
      </c>
      <c r="P857" s="9">
        <v>1.2927</v>
      </c>
      <c r="Q857" s="9">
        <v>19.688099999999999</v>
      </c>
      <c r="R857" s="9"/>
      <c r="S857" s="11"/>
    </row>
    <row r="858" spans="1:19" ht="15.75">
      <c r="A858" s="13">
        <v>67631</v>
      </c>
      <c r="B858" s="8">
        <f>28.0029 * CHOOSE(CONTROL!$C$15, $D$11, 100%, $F$11)</f>
        <v>28.0029</v>
      </c>
      <c r="C858" s="8">
        <f>28.0137 * CHOOSE(CONTROL!$C$15, $D$11, 100%, $F$11)</f>
        <v>28.0137</v>
      </c>
      <c r="D858" s="8">
        <f>27.9951 * CHOOSE( CONTROL!$C$15, $D$11, 100%, $F$11)</f>
        <v>27.995100000000001</v>
      </c>
      <c r="E858" s="12">
        <f>28.0008 * CHOOSE( CONTROL!$C$15, $D$11, 100%, $F$11)</f>
        <v>28.000800000000002</v>
      </c>
      <c r="F858" s="4">
        <f>28.664 * CHOOSE(CONTROL!$C$15, $D$11, 100%, $F$11)</f>
        <v>28.664000000000001</v>
      </c>
      <c r="G858" s="8">
        <f>27.3707 * CHOOSE( CONTROL!$C$15, $D$11, 100%, $F$11)</f>
        <v>27.370699999999999</v>
      </c>
      <c r="H858" s="4">
        <f>28.2589 * CHOOSE(CONTROL!$C$15, $D$11, 100%, $F$11)</f>
        <v>28.258900000000001</v>
      </c>
      <c r="I858" s="8">
        <f>27.0035 * CHOOSE(CONTROL!$C$15, $D$11, 100%, $F$11)</f>
        <v>27.003499999999999</v>
      </c>
      <c r="J858" s="4">
        <f>26.8712 * CHOOSE(CONTROL!$C$15, $D$11, 100%, $F$11)</f>
        <v>26.871200000000002</v>
      </c>
      <c r="K858" s="4"/>
      <c r="L858" s="9">
        <v>26.469899999999999</v>
      </c>
      <c r="M858" s="9">
        <v>10.8962</v>
      </c>
      <c r="N858" s="9">
        <v>4.4660000000000002</v>
      </c>
      <c r="O858" s="9">
        <v>0.33789999999999998</v>
      </c>
      <c r="P858" s="9">
        <v>1.1676</v>
      </c>
      <c r="Q858" s="9">
        <v>17.782800000000002</v>
      </c>
      <c r="R858" s="9"/>
      <c r="S858" s="11"/>
    </row>
    <row r="859" spans="1:19" ht="15.75">
      <c r="A859" s="13">
        <v>67662</v>
      </c>
      <c r="B859" s="8">
        <f>27.4071 * CHOOSE(CONTROL!$C$15, $D$11, 100%, $F$11)</f>
        <v>27.4071</v>
      </c>
      <c r="C859" s="8">
        <f>27.4179 * CHOOSE(CONTROL!$C$15, $D$11, 100%, $F$11)</f>
        <v>27.417899999999999</v>
      </c>
      <c r="D859" s="8">
        <f>27.3989 * CHOOSE( CONTROL!$C$15, $D$11, 100%, $F$11)</f>
        <v>27.398900000000001</v>
      </c>
      <c r="E859" s="12">
        <f>27.4047 * CHOOSE( CONTROL!$C$15, $D$11, 100%, $F$11)</f>
        <v>27.404699999999998</v>
      </c>
      <c r="F859" s="4">
        <f>28.0683 * CHOOSE(CONTROL!$C$15, $D$11, 100%, $F$11)</f>
        <v>28.068300000000001</v>
      </c>
      <c r="G859" s="8">
        <f>26.7878 * CHOOSE( CONTROL!$C$15, $D$11, 100%, $F$11)</f>
        <v>26.787800000000001</v>
      </c>
      <c r="H859" s="4">
        <f>27.6764 * CHOOSE(CONTROL!$C$15, $D$11, 100%, $F$11)</f>
        <v>27.676400000000001</v>
      </c>
      <c r="I859" s="8">
        <f>26.4296 * CHOOSE(CONTROL!$C$15, $D$11, 100%, $F$11)</f>
        <v>26.429600000000001</v>
      </c>
      <c r="J859" s="4">
        <f>26.2991 * CHOOSE(CONTROL!$C$15, $D$11, 100%, $F$11)</f>
        <v>26.299099999999999</v>
      </c>
      <c r="K859" s="4"/>
      <c r="L859" s="9">
        <v>29.306000000000001</v>
      </c>
      <c r="M859" s="9">
        <v>12.063700000000001</v>
      </c>
      <c r="N859" s="9">
        <v>4.9444999999999997</v>
      </c>
      <c r="O859" s="9">
        <v>0.37409999999999999</v>
      </c>
      <c r="P859" s="9">
        <v>1.2927</v>
      </c>
      <c r="Q859" s="9">
        <v>19.688099999999999</v>
      </c>
      <c r="R859" s="9"/>
      <c r="S859" s="11"/>
    </row>
    <row r="860" spans="1:19" ht="15.75">
      <c r="A860" s="13">
        <v>67692</v>
      </c>
      <c r="B860" s="8">
        <f>27.8234 * CHOOSE(CONTROL!$C$15, $D$11, 100%, $F$11)</f>
        <v>27.823399999999999</v>
      </c>
      <c r="C860" s="8">
        <f>27.8342 * CHOOSE(CONTROL!$C$15, $D$11, 100%, $F$11)</f>
        <v>27.834199999999999</v>
      </c>
      <c r="D860" s="8">
        <f>27.869 * CHOOSE( CONTROL!$C$15, $D$11, 100%, $F$11)</f>
        <v>27.869</v>
      </c>
      <c r="E860" s="12">
        <f>27.8563 * CHOOSE( CONTROL!$C$15, $D$11, 100%, $F$11)</f>
        <v>27.856300000000001</v>
      </c>
      <c r="F860" s="4">
        <f>28.5523 * CHOOSE(CONTROL!$C$15, $D$11, 100%, $F$11)</f>
        <v>28.552299999999999</v>
      </c>
      <c r="G860" s="8">
        <f>27.1976 * CHOOSE( CONTROL!$C$15, $D$11, 100%, $F$11)</f>
        <v>27.197600000000001</v>
      </c>
      <c r="H860" s="4">
        <f>28.1497 * CHOOSE(CONTROL!$C$15, $D$11, 100%, $F$11)</f>
        <v>28.149699999999999</v>
      </c>
      <c r="I860" s="8">
        <f>26.8248 * CHOOSE(CONTROL!$C$15, $D$11, 100%, $F$11)</f>
        <v>26.8248</v>
      </c>
      <c r="J860" s="4">
        <f>26.6989 * CHOOSE(CONTROL!$C$15, $D$11, 100%, $F$11)</f>
        <v>26.698899999999998</v>
      </c>
      <c r="K860" s="4"/>
      <c r="L860" s="9">
        <v>30.092199999999998</v>
      </c>
      <c r="M860" s="9">
        <v>11.6745</v>
      </c>
      <c r="N860" s="9">
        <v>4.7850000000000001</v>
      </c>
      <c r="O860" s="9">
        <v>0.36199999999999999</v>
      </c>
      <c r="P860" s="9">
        <v>1.1791</v>
      </c>
      <c r="Q860" s="9">
        <v>19.053000000000001</v>
      </c>
      <c r="R860" s="9"/>
      <c r="S860" s="11"/>
    </row>
    <row r="861" spans="1:19" ht="15.75">
      <c r="A861" s="13">
        <v>67723</v>
      </c>
      <c r="B861" s="8">
        <f>CHOOSE( CONTROL!$C$32, 28.5666, 28.5643) * CHOOSE(CONTROL!$C$15, $D$11, 100%, $F$11)</f>
        <v>28.566600000000001</v>
      </c>
      <c r="C861" s="8">
        <f>CHOOSE( CONTROL!$C$32, 28.5772, 28.5749) * CHOOSE(CONTROL!$C$15, $D$11, 100%, $F$11)</f>
        <v>28.577200000000001</v>
      </c>
      <c r="D861" s="8">
        <f>CHOOSE( CONTROL!$C$32, 28.611, 28.6087) * CHOOSE( CONTROL!$C$15, $D$11, 100%, $F$11)</f>
        <v>28.611000000000001</v>
      </c>
      <c r="E861" s="12">
        <f>CHOOSE( CONTROL!$C$32, 28.5971, 28.5948) * CHOOSE( CONTROL!$C$15, $D$11, 100%, $F$11)</f>
        <v>28.597100000000001</v>
      </c>
      <c r="F861" s="4">
        <f>CHOOSE( CONTROL!$C$32, 29.2956, 29.2933) * CHOOSE(CONTROL!$C$15, $D$11, 100%, $F$11)</f>
        <v>29.2956</v>
      </c>
      <c r="G861" s="8">
        <f>CHOOSE( CONTROL!$C$32, 27.9248, 27.9225) * CHOOSE( CONTROL!$C$15, $D$11, 100%, $F$11)</f>
        <v>27.924800000000001</v>
      </c>
      <c r="H861" s="4">
        <f>CHOOSE( CONTROL!$C$32, 28.8764, 28.8741) * CHOOSE(CONTROL!$C$15, $D$11, 100%, $F$11)</f>
        <v>28.8764</v>
      </c>
      <c r="I861" s="8">
        <f>CHOOSE( CONTROL!$C$32, 27.5389, 27.5367) * CHOOSE(CONTROL!$C$15, $D$11, 100%, $F$11)</f>
        <v>27.538900000000002</v>
      </c>
      <c r="J861" s="4">
        <f>CHOOSE( CONTROL!$C$32, 27.4125, 27.4103) * CHOOSE(CONTROL!$C$15, $D$11, 100%, $F$11)</f>
        <v>27.412500000000001</v>
      </c>
      <c r="K861" s="4"/>
      <c r="L861" s="9">
        <v>30.7165</v>
      </c>
      <c r="M861" s="9">
        <v>12.063700000000001</v>
      </c>
      <c r="N861" s="9">
        <v>4.9444999999999997</v>
      </c>
      <c r="O861" s="9">
        <v>0.37409999999999999</v>
      </c>
      <c r="P861" s="9">
        <v>1.2183999999999999</v>
      </c>
      <c r="Q861" s="9">
        <v>19.688099999999999</v>
      </c>
      <c r="R861" s="9"/>
      <c r="S861" s="11"/>
    </row>
    <row r="862" spans="1:19" ht="15.75">
      <c r="A862" s="13">
        <v>67753</v>
      </c>
      <c r="B862" s="8">
        <f>CHOOSE( CONTROL!$C$32, 28.1076, 28.1053) * CHOOSE(CONTROL!$C$15, $D$11, 100%, $F$11)</f>
        <v>28.107600000000001</v>
      </c>
      <c r="C862" s="8">
        <f>CHOOSE( CONTROL!$C$32, 28.1182, 28.1159) * CHOOSE(CONTROL!$C$15, $D$11, 100%, $F$11)</f>
        <v>28.118200000000002</v>
      </c>
      <c r="D862" s="8">
        <f>CHOOSE( CONTROL!$C$32, 28.1522, 28.1499) * CHOOSE( CONTROL!$C$15, $D$11, 100%, $F$11)</f>
        <v>28.152200000000001</v>
      </c>
      <c r="E862" s="12">
        <f>CHOOSE( CONTROL!$C$32, 28.1383, 28.136) * CHOOSE( CONTROL!$C$15, $D$11, 100%, $F$11)</f>
        <v>28.138300000000001</v>
      </c>
      <c r="F862" s="4">
        <f>CHOOSE( CONTROL!$C$32, 28.8366, 28.8342) * CHOOSE(CONTROL!$C$15, $D$11, 100%, $F$11)</f>
        <v>28.836600000000001</v>
      </c>
      <c r="G862" s="8">
        <f>CHOOSE( CONTROL!$C$32, 27.4762, 27.474) * CHOOSE( CONTROL!$C$15, $D$11, 100%, $F$11)</f>
        <v>27.476199999999999</v>
      </c>
      <c r="H862" s="4">
        <f>CHOOSE( CONTROL!$C$32, 28.4276, 28.4253) * CHOOSE(CONTROL!$C$15, $D$11, 100%, $F$11)</f>
        <v>28.427600000000002</v>
      </c>
      <c r="I862" s="8">
        <f>CHOOSE( CONTROL!$C$32, 27.0987, 27.0965) * CHOOSE(CONTROL!$C$15, $D$11, 100%, $F$11)</f>
        <v>27.098700000000001</v>
      </c>
      <c r="J862" s="4">
        <f>CHOOSE( CONTROL!$C$32, 26.9718, 26.9696) * CHOOSE(CONTROL!$C$15, $D$11, 100%, $F$11)</f>
        <v>26.971800000000002</v>
      </c>
      <c r="K862" s="4"/>
      <c r="L862" s="9">
        <v>29.7257</v>
      </c>
      <c r="M862" s="9">
        <v>11.6745</v>
      </c>
      <c r="N862" s="9">
        <v>4.7850000000000001</v>
      </c>
      <c r="O862" s="9">
        <v>0.36199999999999999</v>
      </c>
      <c r="P862" s="9">
        <v>1.1791</v>
      </c>
      <c r="Q862" s="9">
        <v>19.053000000000001</v>
      </c>
      <c r="R862" s="9"/>
      <c r="S862" s="11"/>
    </row>
    <row r="863" spans="1:19" ht="15.75">
      <c r="A863" s="13">
        <v>67784</v>
      </c>
      <c r="B863" s="8">
        <f>CHOOSE( CONTROL!$C$32, 29.3163, 29.314) * CHOOSE(CONTROL!$C$15, $D$11, 100%, $F$11)</f>
        <v>29.316299999999998</v>
      </c>
      <c r="C863" s="8">
        <f>CHOOSE( CONTROL!$C$32, 29.3269, 29.3246) * CHOOSE(CONTROL!$C$15, $D$11, 100%, $F$11)</f>
        <v>29.326899999999998</v>
      </c>
      <c r="D863" s="8">
        <f>CHOOSE( CONTROL!$C$32, 29.3611, 29.3588) * CHOOSE( CONTROL!$C$15, $D$11, 100%, $F$11)</f>
        <v>29.3611</v>
      </c>
      <c r="E863" s="12">
        <f>CHOOSE( CONTROL!$C$32, 29.3471, 29.3448) * CHOOSE( CONTROL!$C$15, $D$11, 100%, $F$11)</f>
        <v>29.347100000000001</v>
      </c>
      <c r="F863" s="4">
        <f>CHOOSE( CONTROL!$C$32, 30.0453, 30.043) * CHOOSE(CONTROL!$C$15, $D$11, 100%, $F$11)</f>
        <v>30.045300000000001</v>
      </c>
      <c r="G863" s="8">
        <f>CHOOSE( CONTROL!$C$32, 28.6583, 28.6561) * CHOOSE( CONTROL!$C$15, $D$11, 100%, $F$11)</f>
        <v>28.658300000000001</v>
      </c>
      <c r="H863" s="4">
        <f>CHOOSE( CONTROL!$C$32, 29.6094, 29.6071) * CHOOSE(CONTROL!$C$15, $D$11, 100%, $F$11)</f>
        <v>29.609400000000001</v>
      </c>
      <c r="I863" s="8">
        <f>CHOOSE( CONTROL!$C$32, 28.2608, 28.2586) * CHOOSE(CONTROL!$C$15, $D$11, 100%, $F$11)</f>
        <v>28.2608</v>
      </c>
      <c r="J863" s="4">
        <f>CHOOSE( CONTROL!$C$32, 28.1323, 28.1301) * CHOOSE(CONTROL!$C$15, $D$11, 100%, $F$11)</f>
        <v>28.132300000000001</v>
      </c>
      <c r="K863" s="4"/>
      <c r="L863" s="9">
        <v>30.7165</v>
      </c>
      <c r="M863" s="9">
        <v>12.063700000000001</v>
      </c>
      <c r="N863" s="9">
        <v>4.9444999999999997</v>
      </c>
      <c r="O863" s="9">
        <v>0.37409999999999999</v>
      </c>
      <c r="P863" s="9">
        <v>1.2183999999999999</v>
      </c>
      <c r="Q863" s="9">
        <v>19.688099999999999</v>
      </c>
      <c r="R863" s="9"/>
      <c r="S863" s="11"/>
    </row>
    <row r="864" spans="1:19" ht="15.75">
      <c r="A864" s="13">
        <v>67815</v>
      </c>
      <c r="B864" s="8">
        <f>CHOOSE( CONTROL!$C$32, 27.0547, 27.0524) * CHOOSE(CONTROL!$C$15, $D$11, 100%, $F$11)</f>
        <v>27.0547</v>
      </c>
      <c r="C864" s="8">
        <f>CHOOSE( CONTROL!$C$32, 27.0652, 27.0629) * CHOOSE(CONTROL!$C$15, $D$11, 100%, $F$11)</f>
        <v>27.065200000000001</v>
      </c>
      <c r="D864" s="8">
        <f>CHOOSE( CONTROL!$C$32, 27.0995, 27.0972) * CHOOSE( CONTROL!$C$15, $D$11, 100%, $F$11)</f>
        <v>27.099499999999999</v>
      </c>
      <c r="E864" s="12">
        <f>CHOOSE( CONTROL!$C$32, 27.0855, 27.0832) * CHOOSE( CONTROL!$C$15, $D$11, 100%, $F$11)</f>
        <v>27.0855</v>
      </c>
      <c r="F864" s="4">
        <f>CHOOSE( CONTROL!$C$32, 27.7836, 27.7813) * CHOOSE(CONTROL!$C$15, $D$11, 100%, $F$11)</f>
        <v>27.7836</v>
      </c>
      <c r="G864" s="8">
        <f>CHOOSE( CONTROL!$C$32, 26.4472, 26.445) * CHOOSE( CONTROL!$C$15, $D$11, 100%, $F$11)</f>
        <v>26.447199999999999</v>
      </c>
      <c r="H864" s="4">
        <f>CHOOSE( CONTROL!$C$32, 27.3981, 27.3959) * CHOOSE(CONTROL!$C$15, $D$11, 100%, $F$11)</f>
        <v>27.398099999999999</v>
      </c>
      <c r="I864" s="8">
        <f>CHOOSE( CONTROL!$C$32, 26.0885, 26.0863) * CHOOSE(CONTROL!$C$15, $D$11, 100%, $F$11)</f>
        <v>26.0885</v>
      </c>
      <c r="J864" s="4">
        <f>CHOOSE( CONTROL!$C$32, 25.9609, 25.9586) * CHOOSE(CONTROL!$C$15, $D$11, 100%, $F$11)</f>
        <v>25.960899999999999</v>
      </c>
      <c r="K864" s="4"/>
      <c r="L864" s="9">
        <v>30.7165</v>
      </c>
      <c r="M864" s="9">
        <v>12.063700000000001</v>
      </c>
      <c r="N864" s="9">
        <v>4.9444999999999997</v>
      </c>
      <c r="O864" s="9">
        <v>0.37409999999999999</v>
      </c>
      <c r="P864" s="9">
        <v>1.2183999999999999</v>
      </c>
      <c r="Q864" s="9">
        <v>19.688099999999999</v>
      </c>
      <c r="R864" s="9"/>
      <c r="S864" s="11"/>
    </row>
    <row r="865" spans="1:19" ht="15.75">
      <c r="A865" s="13">
        <v>67845</v>
      </c>
      <c r="B865" s="8">
        <f>CHOOSE( CONTROL!$C$32, 26.4883, 26.486) * CHOOSE(CONTROL!$C$15, $D$11, 100%, $F$11)</f>
        <v>26.488299999999999</v>
      </c>
      <c r="C865" s="8">
        <f>CHOOSE( CONTROL!$C$32, 26.4989, 26.4966) * CHOOSE(CONTROL!$C$15, $D$11, 100%, $F$11)</f>
        <v>26.498899999999999</v>
      </c>
      <c r="D865" s="8">
        <f>CHOOSE( CONTROL!$C$32, 26.5331, 26.5308) * CHOOSE( CONTROL!$C$15, $D$11, 100%, $F$11)</f>
        <v>26.533100000000001</v>
      </c>
      <c r="E865" s="12">
        <f>CHOOSE( CONTROL!$C$32, 26.5191, 26.5168) * CHOOSE( CONTROL!$C$15, $D$11, 100%, $F$11)</f>
        <v>26.519100000000002</v>
      </c>
      <c r="F865" s="4">
        <f>CHOOSE( CONTROL!$C$32, 27.2173, 27.215) * CHOOSE(CONTROL!$C$15, $D$11, 100%, $F$11)</f>
        <v>27.217300000000002</v>
      </c>
      <c r="G865" s="8">
        <f>CHOOSE( CONTROL!$C$32, 25.8934, 25.8912) * CHOOSE( CONTROL!$C$15, $D$11, 100%, $F$11)</f>
        <v>25.8934</v>
      </c>
      <c r="H865" s="4">
        <f>CHOOSE( CONTROL!$C$32, 26.8444, 26.8422) * CHOOSE(CONTROL!$C$15, $D$11, 100%, $F$11)</f>
        <v>26.8444</v>
      </c>
      <c r="I865" s="8">
        <f>CHOOSE( CONTROL!$C$32, 25.5444, 25.5422) * CHOOSE(CONTROL!$C$15, $D$11, 100%, $F$11)</f>
        <v>25.5444</v>
      </c>
      <c r="J865" s="4">
        <f>CHOOSE( CONTROL!$C$32, 25.4171, 25.4149) * CHOOSE(CONTROL!$C$15, $D$11, 100%, $F$11)</f>
        <v>25.417100000000001</v>
      </c>
      <c r="K865" s="4"/>
      <c r="L865" s="9">
        <v>29.7257</v>
      </c>
      <c r="M865" s="9">
        <v>11.6745</v>
      </c>
      <c r="N865" s="9">
        <v>4.7850000000000001</v>
      </c>
      <c r="O865" s="9">
        <v>0.36199999999999999</v>
      </c>
      <c r="P865" s="9">
        <v>1.1791</v>
      </c>
      <c r="Q865" s="9">
        <v>19.053000000000001</v>
      </c>
      <c r="R865" s="9"/>
      <c r="S865" s="11"/>
    </row>
    <row r="866" spans="1:19" ht="15.75">
      <c r="A866" s="13">
        <v>67876</v>
      </c>
      <c r="B866" s="8">
        <f>27.6621 * CHOOSE(CONTROL!$C$15, $D$11, 100%, $F$11)</f>
        <v>27.662099999999999</v>
      </c>
      <c r="C866" s="8">
        <f>27.6728 * CHOOSE(CONTROL!$C$15, $D$11, 100%, $F$11)</f>
        <v>27.672799999999999</v>
      </c>
      <c r="D866" s="8">
        <f>27.7082 * CHOOSE( CONTROL!$C$15, $D$11, 100%, $F$11)</f>
        <v>27.708200000000001</v>
      </c>
      <c r="E866" s="12">
        <f>27.6954 * CHOOSE( CONTROL!$C$15, $D$11, 100%, $F$11)</f>
        <v>27.695399999999999</v>
      </c>
      <c r="F866" s="4">
        <f>28.3909 * CHOOSE(CONTROL!$C$15, $D$11, 100%, $F$11)</f>
        <v>28.390899999999998</v>
      </c>
      <c r="G866" s="8">
        <f>27.0407 * CHOOSE( CONTROL!$C$15, $D$11, 100%, $F$11)</f>
        <v>27.040700000000001</v>
      </c>
      <c r="H866" s="4">
        <f>27.9919 * CHOOSE(CONTROL!$C$15, $D$11, 100%, $F$11)</f>
        <v>27.991900000000001</v>
      </c>
      <c r="I866" s="8">
        <f>26.6726 * CHOOSE(CONTROL!$C$15, $D$11, 100%, $F$11)</f>
        <v>26.672599999999999</v>
      </c>
      <c r="J866" s="4">
        <f>26.5439 * CHOOSE(CONTROL!$C$15, $D$11, 100%, $F$11)</f>
        <v>26.543900000000001</v>
      </c>
      <c r="K866" s="4"/>
      <c r="L866" s="9">
        <v>31.095300000000002</v>
      </c>
      <c r="M866" s="9">
        <v>12.063700000000001</v>
      </c>
      <c r="N866" s="9">
        <v>4.9444999999999997</v>
      </c>
      <c r="O866" s="9">
        <v>0.37409999999999999</v>
      </c>
      <c r="P866" s="9">
        <v>1.2183999999999999</v>
      </c>
      <c r="Q866" s="9">
        <v>19.688099999999999</v>
      </c>
      <c r="R866" s="9"/>
      <c r="S866" s="11"/>
    </row>
    <row r="867" spans="1:19" ht="15.75">
      <c r="A867" s="13">
        <v>67906</v>
      </c>
      <c r="B867" s="8">
        <f>29.8326 * CHOOSE(CONTROL!$C$15, $D$11, 100%, $F$11)</f>
        <v>29.832599999999999</v>
      </c>
      <c r="C867" s="8">
        <f>29.8434 * CHOOSE(CONTROL!$C$15, $D$11, 100%, $F$11)</f>
        <v>29.843399999999999</v>
      </c>
      <c r="D867" s="8">
        <f>29.8194 * CHOOSE( CONTROL!$C$15, $D$11, 100%, $F$11)</f>
        <v>29.819400000000002</v>
      </c>
      <c r="E867" s="12">
        <f>29.827 * CHOOSE( CONTROL!$C$15, $D$11, 100%, $F$11)</f>
        <v>29.827000000000002</v>
      </c>
      <c r="F867" s="4">
        <f>30.4937 * CHOOSE(CONTROL!$C$15, $D$11, 100%, $F$11)</f>
        <v>30.4937</v>
      </c>
      <c r="G867" s="8">
        <f>29.1628 * CHOOSE( CONTROL!$C$15, $D$11, 100%, $F$11)</f>
        <v>29.162800000000001</v>
      </c>
      <c r="H867" s="4">
        <f>30.0478 * CHOOSE(CONTROL!$C$15, $D$11, 100%, $F$11)</f>
        <v>30.047799999999999</v>
      </c>
      <c r="I867" s="8">
        <f>28.801 * CHOOSE(CONTROL!$C$15, $D$11, 100%, $F$11)</f>
        <v>28.800999999999998</v>
      </c>
      <c r="J867" s="4">
        <f>28.6279 * CHOOSE(CONTROL!$C$15, $D$11, 100%, $F$11)</f>
        <v>28.6279</v>
      </c>
      <c r="K867" s="4"/>
      <c r="L867" s="9">
        <v>28.360600000000002</v>
      </c>
      <c r="M867" s="9">
        <v>11.6745</v>
      </c>
      <c r="N867" s="9">
        <v>4.7850000000000001</v>
      </c>
      <c r="O867" s="9">
        <v>0.36199999999999999</v>
      </c>
      <c r="P867" s="9">
        <v>1.2509999999999999</v>
      </c>
      <c r="Q867" s="9">
        <v>19.053000000000001</v>
      </c>
      <c r="R867" s="9"/>
      <c r="S867" s="11"/>
    </row>
    <row r="868" spans="1:19" ht="15.75">
      <c r="A868" s="13">
        <v>67937</v>
      </c>
      <c r="B868" s="8">
        <f>29.7784 * CHOOSE(CONTROL!$C$15, $D$11, 100%, $F$11)</f>
        <v>29.778400000000001</v>
      </c>
      <c r="C868" s="8">
        <f>29.7892 * CHOOSE(CONTROL!$C$15, $D$11, 100%, $F$11)</f>
        <v>29.789200000000001</v>
      </c>
      <c r="D868" s="8">
        <f>29.7669 * CHOOSE( CONTROL!$C$15, $D$11, 100%, $F$11)</f>
        <v>29.7669</v>
      </c>
      <c r="E868" s="12">
        <f>29.7739 * CHOOSE( CONTROL!$C$15, $D$11, 100%, $F$11)</f>
        <v>29.773900000000001</v>
      </c>
      <c r="F868" s="4">
        <f>30.4395 * CHOOSE(CONTROL!$C$15, $D$11, 100%, $F$11)</f>
        <v>30.439499999999999</v>
      </c>
      <c r="G868" s="8">
        <f>29.111 * CHOOSE( CONTROL!$C$15, $D$11, 100%, $F$11)</f>
        <v>29.111000000000001</v>
      </c>
      <c r="H868" s="4">
        <f>29.9948 * CHOOSE(CONTROL!$C$15, $D$11, 100%, $F$11)</f>
        <v>29.994800000000001</v>
      </c>
      <c r="I868" s="8">
        <f>28.7541 * CHOOSE(CONTROL!$C$15, $D$11, 100%, $F$11)</f>
        <v>28.754100000000001</v>
      </c>
      <c r="J868" s="4">
        <f>28.5758 * CHOOSE(CONTROL!$C$15, $D$11, 100%, $F$11)</f>
        <v>28.575800000000001</v>
      </c>
      <c r="K868" s="4"/>
      <c r="L868" s="9">
        <v>29.306000000000001</v>
      </c>
      <c r="M868" s="9">
        <v>12.063700000000001</v>
      </c>
      <c r="N868" s="9">
        <v>4.9444999999999997</v>
      </c>
      <c r="O868" s="9">
        <v>0.37409999999999999</v>
      </c>
      <c r="P868" s="9">
        <v>1.2927</v>
      </c>
      <c r="Q868" s="9">
        <v>19.688099999999999</v>
      </c>
      <c r="R868" s="9"/>
      <c r="S868" s="11"/>
    </row>
    <row r="869" spans="1:19" ht="15.75">
      <c r="A869" s="13">
        <v>67968</v>
      </c>
      <c r="B869" s="8">
        <f>30.6563 * CHOOSE(CONTROL!$C$15, $D$11, 100%, $F$11)</f>
        <v>30.656300000000002</v>
      </c>
      <c r="C869" s="8">
        <f>30.6671 * CHOOSE(CONTROL!$C$15, $D$11, 100%, $F$11)</f>
        <v>30.667100000000001</v>
      </c>
      <c r="D869" s="8">
        <f>30.6487 * CHOOSE( CONTROL!$C$15, $D$11, 100%, $F$11)</f>
        <v>30.648700000000002</v>
      </c>
      <c r="E869" s="12">
        <f>30.6543 * CHOOSE( CONTROL!$C$15, $D$11, 100%, $F$11)</f>
        <v>30.654299999999999</v>
      </c>
      <c r="F869" s="4">
        <f>31.3174 * CHOOSE(CONTROL!$C$15, $D$11, 100%, $F$11)</f>
        <v>31.317399999999999</v>
      </c>
      <c r="G869" s="8">
        <f>29.965 * CHOOSE( CONTROL!$C$15, $D$11, 100%, $F$11)</f>
        <v>29.965</v>
      </c>
      <c r="H869" s="4">
        <f>30.8531 * CHOOSE(CONTROL!$C$15, $D$11, 100%, $F$11)</f>
        <v>30.853100000000001</v>
      </c>
      <c r="I869" s="8">
        <f>29.5527 * CHOOSE(CONTROL!$C$15, $D$11, 100%, $F$11)</f>
        <v>29.552700000000002</v>
      </c>
      <c r="J869" s="4">
        <f>29.4187 * CHOOSE(CONTROL!$C$15, $D$11, 100%, $F$11)</f>
        <v>29.418700000000001</v>
      </c>
      <c r="K869" s="4"/>
      <c r="L869" s="9">
        <v>29.306000000000001</v>
      </c>
      <c r="M869" s="9">
        <v>12.063700000000001</v>
      </c>
      <c r="N869" s="9">
        <v>4.9444999999999997</v>
      </c>
      <c r="O869" s="9">
        <v>0.37409999999999999</v>
      </c>
      <c r="P869" s="9">
        <v>1.2927</v>
      </c>
      <c r="Q869" s="9">
        <v>19.688099999999999</v>
      </c>
      <c r="R869" s="9"/>
      <c r="S869" s="11"/>
    </row>
    <row r="870" spans="1:19" ht="15.75">
      <c r="A870" s="13">
        <v>67996</v>
      </c>
      <c r="B870" s="8">
        <f>28.6754 * CHOOSE(CONTROL!$C$15, $D$11, 100%, $F$11)</f>
        <v>28.6754</v>
      </c>
      <c r="C870" s="8">
        <f>28.6862 * CHOOSE(CONTROL!$C$15, $D$11, 100%, $F$11)</f>
        <v>28.686199999999999</v>
      </c>
      <c r="D870" s="8">
        <f>28.6676 * CHOOSE( CONTROL!$C$15, $D$11, 100%, $F$11)</f>
        <v>28.6676</v>
      </c>
      <c r="E870" s="12">
        <f>28.6733 * CHOOSE( CONTROL!$C$15, $D$11, 100%, $F$11)</f>
        <v>28.673300000000001</v>
      </c>
      <c r="F870" s="4">
        <f>29.3365 * CHOOSE(CONTROL!$C$15, $D$11, 100%, $F$11)</f>
        <v>29.336500000000001</v>
      </c>
      <c r="G870" s="8">
        <f>28.0281 * CHOOSE( CONTROL!$C$15, $D$11, 100%, $F$11)</f>
        <v>28.028099999999998</v>
      </c>
      <c r="H870" s="4">
        <f>28.9164 * CHOOSE(CONTROL!$C$15, $D$11, 100%, $F$11)</f>
        <v>28.916399999999999</v>
      </c>
      <c r="I870" s="8">
        <f>27.6494 * CHOOSE(CONTROL!$C$15, $D$11, 100%, $F$11)</f>
        <v>27.6494</v>
      </c>
      <c r="J870" s="4">
        <f>27.5168 * CHOOSE(CONTROL!$C$15, $D$11, 100%, $F$11)</f>
        <v>27.5168</v>
      </c>
      <c r="K870" s="4"/>
      <c r="L870" s="9">
        <v>26.469899999999999</v>
      </c>
      <c r="M870" s="9">
        <v>10.8962</v>
      </c>
      <c r="N870" s="9">
        <v>4.4660000000000002</v>
      </c>
      <c r="O870" s="9">
        <v>0.33789999999999998</v>
      </c>
      <c r="P870" s="9">
        <v>1.1676</v>
      </c>
      <c r="Q870" s="9">
        <v>17.782800000000002</v>
      </c>
      <c r="R870" s="9"/>
      <c r="S870" s="11"/>
    </row>
    <row r="871" spans="1:19" ht="15.75">
      <c r="A871" s="13">
        <v>68027</v>
      </c>
      <c r="B871" s="8">
        <f>28.0653 * CHOOSE(CONTROL!$C$15, $D$11, 100%, $F$11)</f>
        <v>28.065300000000001</v>
      </c>
      <c r="C871" s="8">
        <f>28.0761 * CHOOSE(CONTROL!$C$15, $D$11, 100%, $F$11)</f>
        <v>28.0761</v>
      </c>
      <c r="D871" s="8">
        <f>28.057 * CHOOSE( CONTROL!$C$15, $D$11, 100%, $F$11)</f>
        <v>28.056999999999999</v>
      </c>
      <c r="E871" s="12">
        <f>28.0628 * CHOOSE( CONTROL!$C$15, $D$11, 100%, $F$11)</f>
        <v>28.062799999999999</v>
      </c>
      <c r="F871" s="4">
        <f>28.7264 * CHOOSE(CONTROL!$C$15, $D$11, 100%, $F$11)</f>
        <v>28.726400000000002</v>
      </c>
      <c r="G871" s="8">
        <f>27.4313 * CHOOSE( CONTROL!$C$15, $D$11, 100%, $F$11)</f>
        <v>27.4313</v>
      </c>
      <c r="H871" s="4">
        <f>28.3199 * CHOOSE(CONTROL!$C$15, $D$11, 100%, $F$11)</f>
        <v>28.319900000000001</v>
      </c>
      <c r="I871" s="8">
        <f>27.0618 * CHOOSE(CONTROL!$C$15, $D$11, 100%, $F$11)</f>
        <v>27.061800000000002</v>
      </c>
      <c r="J871" s="4">
        <f>26.931 * CHOOSE(CONTROL!$C$15, $D$11, 100%, $F$11)</f>
        <v>26.931000000000001</v>
      </c>
      <c r="K871" s="4"/>
      <c r="L871" s="9">
        <v>29.306000000000001</v>
      </c>
      <c r="M871" s="9">
        <v>12.063700000000001</v>
      </c>
      <c r="N871" s="9">
        <v>4.9444999999999997</v>
      </c>
      <c r="O871" s="9">
        <v>0.37409999999999999</v>
      </c>
      <c r="P871" s="9">
        <v>1.2927</v>
      </c>
      <c r="Q871" s="9">
        <v>19.688099999999999</v>
      </c>
      <c r="R871" s="9"/>
      <c r="S871" s="11"/>
    </row>
    <row r="872" spans="1:19" ht="15.75">
      <c r="A872" s="13">
        <v>68057</v>
      </c>
      <c r="B872" s="8">
        <f>28.4916 * CHOOSE(CONTROL!$C$15, $D$11, 100%, $F$11)</f>
        <v>28.491599999999998</v>
      </c>
      <c r="C872" s="8">
        <f>28.5024 * CHOOSE(CONTROL!$C$15, $D$11, 100%, $F$11)</f>
        <v>28.502400000000002</v>
      </c>
      <c r="D872" s="8">
        <f>28.5372 * CHOOSE( CONTROL!$C$15, $D$11, 100%, $F$11)</f>
        <v>28.537199999999999</v>
      </c>
      <c r="E872" s="12">
        <f>28.5245 * CHOOSE( CONTROL!$C$15, $D$11, 100%, $F$11)</f>
        <v>28.5245</v>
      </c>
      <c r="F872" s="4">
        <f>29.2205 * CHOOSE(CONTROL!$C$15, $D$11, 100%, $F$11)</f>
        <v>29.220500000000001</v>
      </c>
      <c r="G872" s="8">
        <f>27.8508 * CHOOSE( CONTROL!$C$15, $D$11, 100%, $F$11)</f>
        <v>27.8508</v>
      </c>
      <c r="H872" s="4">
        <f>28.8029 * CHOOSE(CONTROL!$C$15, $D$11, 100%, $F$11)</f>
        <v>28.802900000000001</v>
      </c>
      <c r="I872" s="8">
        <f>27.4666 * CHOOSE(CONTROL!$C$15, $D$11, 100%, $F$11)</f>
        <v>27.4666</v>
      </c>
      <c r="J872" s="4">
        <f>27.3404 * CHOOSE(CONTROL!$C$15, $D$11, 100%, $F$11)</f>
        <v>27.340399999999999</v>
      </c>
      <c r="K872" s="4"/>
      <c r="L872" s="9">
        <v>30.092199999999998</v>
      </c>
      <c r="M872" s="9">
        <v>11.6745</v>
      </c>
      <c r="N872" s="9">
        <v>4.7850000000000001</v>
      </c>
      <c r="O872" s="9">
        <v>0.36199999999999999</v>
      </c>
      <c r="P872" s="9">
        <v>1.1791</v>
      </c>
      <c r="Q872" s="9">
        <v>19.053000000000001</v>
      </c>
      <c r="R872" s="9"/>
      <c r="S872" s="11"/>
    </row>
    <row r="873" spans="1:19" ht="15.75">
      <c r="A873" s="13">
        <v>68088</v>
      </c>
      <c r="B873" s="8">
        <f>CHOOSE( CONTROL!$C$32, 29.2526, 29.2503) * CHOOSE(CONTROL!$C$15, $D$11, 100%, $F$11)</f>
        <v>29.252600000000001</v>
      </c>
      <c r="C873" s="8">
        <f>CHOOSE( CONTROL!$C$32, 29.2631, 29.2608) * CHOOSE(CONTROL!$C$15, $D$11, 100%, $F$11)</f>
        <v>29.263100000000001</v>
      </c>
      <c r="D873" s="8">
        <f>CHOOSE( CONTROL!$C$32, 29.297, 29.2947) * CHOOSE( CONTROL!$C$15, $D$11, 100%, $F$11)</f>
        <v>29.297000000000001</v>
      </c>
      <c r="E873" s="12">
        <f>CHOOSE( CONTROL!$C$32, 29.2831, 29.2808) * CHOOSE( CONTROL!$C$15, $D$11, 100%, $F$11)</f>
        <v>29.283100000000001</v>
      </c>
      <c r="F873" s="4">
        <f>CHOOSE( CONTROL!$C$32, 29.9815, 29.9792) * CHOOSE(CONTROL!$C$15, $D$11, 100%, $F$11)</f>
        <v>29.9815</v>
      </c>
      <c r="G873" s="8">
        <f>CHOOSE( CONTROL!$C$32, 28.5954, 28.5932) * CHOOSE( CONTROL!$C$15, $D$11, 100%, $F$11)</f>
        <v>28.595400000000001</v>
      </c>
      <c r="H873" s="4">
        <f>CHOOSE( CONTROL!$C$32, 29.547, 29.5448) * CHOOSE(CONTROL!$C$15, $D$11, 100%, $F$11)</f>
        <v>29.547000000000001</v>
      </c>
      <c r="I873" s="8">
        <f>CHOOSE( CONTROL!$C$32, 28.1978, 28.1956) * CHOOSE(CONTROL!$C$15, $D$11, 100%, $F$11)</f>
        <v>28.197800000000001</v>
      </c>
      <c r="J873" s="4">
        <f>CHOOSE( CONTROL!$C$32, 28.0711, 28.0689) * CHOOSE(CONTROL!$C$15, $D$11, 100%, $F$11)</f>
        <v>28.071100000000001</v>
      </c>
      <c r="K873" s="4"/>
      <c r="L873" s="9">
        <v>30.7165</v>
      </c>
      <c r="M873" s="9">
        <v>12.063700000000001</v>
      </c>
      <c r="N873" s="9">
        <v>4.9444999999999997</v>
      </c>
      <c r="O873" s="9">
        <v>0.37409999999999999</v>
      </c>
      <c r="P873" s="9">
        <v>1.2183999999999999</v>
      </c>
      <c r="Q873" s="9">
        <v>19.688099999999999</v>
      </c>
      <c r="R873" s="9"/>
      <c r="S873" s="11"/>
    </row>
    <row r="874" spans="1:19" ht="15.75">
      <c r="A874" s="13">
        <v>68118</v>
      </c>
      <c r="B874" s="8">
        <f>CHOOSE( CONTROL!$C$32, 28.7825, 28.7802) * CHOOSE(CONTROL!$C$15, $D$11, 100%, $F$11)</f>
        <v>28.782499999999999</v>
      </c>
      <c r="C874" s="8">
        <f>CHOOSE( CONTROL!$C$32, 28.7931, 28.7908) * CHOOSE(CONTROL!$C$15, $D$11, 100%, $F$11)</f>
        <v>28.793099999999999</v>
      </c>
      <c r="D874" s="8">
        <f>CHOOSE( CONTROL!$C$32, 28.8271, 28.8248) * CHOOSE( CONTROL!$C$15, $D$11, 100%, $F$11)</f>
        <v>28.827100000000002</v>
      </c>
      <c r="E874" s="12">
        <f>CHOOSE( CONTROL!$C$32, 28.8132, 28.8109) * CHOOSE( CONTROL!$C$15, $D$11, 100%, $F$11)</f>
        <v>28.813199999999998</v>
      </c>
      <c r="F874" s="4">
        <f>CHOOSE( CONTROL!$C$32, 29.5115, 29.5092) * CHOOSE(CONTROL!$C$15, $D$11, 100%, $F$11)</f>
        <v>29.511500000000002</v>
      </c>
      <c r="G874" s="8">
        <f>CHOOSE( CONTROL!$C$32, 28.1361, 28.1339) * CHOOSE( CONTROL!$C$15, $D$11, 100%, $F$11)</f>
        <v>28.136099999999999</v>
      </c>
      <c r="H874" s="4">
        <f>CHOOSE( CONTROL!$C$32, 29.0875, 29.0852) * CHOOSE(CONTROL!$C$15, $D$11, 100%, $F$11)</f>
        <v>29.087499999999999</v>
      </c>
      <c r="I874" s="8">
        <f>CHOOSE( CONTROL!$C$32, 27.747, 27.7448) * CHOOSE(CONTROL!$C$15, $D$11, 100%, $F$11)</f>
        <v>27.747</v>
      </c>
      <c r="J874" s="4">
        <f>CHOOSE( CONTROL!$C$32, 27.6198, 27.6176) * CHOOSE(CONTROL!$C$15, $D$11, 100%, $F$11)</f>
        <v>27.619800000000001</v>
      </c>
      <c r="K874" s="4"/>
      <c r="L874" s="9">
        <v>29.7257</v>
      </c>
      <c r="M874" s="9">
        <v>11.6745</v>
      </c>
      <c r="N874" s="9">
        <v>4.7850000000000001</v>
      </c>
      <c r="O874" s="9">
        <v>0.36199999999999999</v>
      </c>
      <c r="P874" s="9">
        <v>1.1791</v>
      </c>
      <c r="Q874" s="9">
        <v>19.053000000000001</v>
      </c>
      <c r="R874" s="9"/>
      <c r="S874" s="11"/>
    </row>
    <row r="875" spans="1:19" ht="15.75">
      <c r="A875" s="13">
        <v>68149</v>
      </c>
      <c r="B875" s="8">
        <f>CHOOSE( CONTROL!$C$32, 30.0203, 30.018) * CHOOSE(CONTROL!$C$15, $D$11, 100%, $F$11)</f>
        <v>30.020299999999999</v>
      </c>
      <c r="C875" s="8">
        <f>CHOOSE( CONTROL!$C$32, 30.0309, 30.0286) * CHOOSE(CONTROL!$C$15, $D$11, 100%, $F$11)</f>
        <v>30.030899999999999</v>
      </c>
      <c r="D875" s="8">
        <f>CHOOSE( CONTROL!$C$32, 30.0651, 30.0628) * CHOOSE( CONTROL!$C$15, $D$11, 100%, $F$11)</f>
        <v>30.065100000000001</v>
      </c>
      <c r="E875" s="12">
        <f>CHOOSE( CONTROL!$C$32, 30.0511, 30.0488) * CHOOSE( CONTROL!$C$15, $D$11, 100%, $F$11)</f>
        <v>30.051100000000002</v>
      </c>
      <c r="F875" s="4">
        <f>CHOOSE( CONTROL!$C$32, 30.7493, 30.747) * CHOOSE(CONTROL!$C$15, $D$11, 100%, $F$11)</f>
        <v>30.749300000000002</v>
      </c>
      <c r="G875" s="8">
        <f>CHOOSE( CONTROL!$C$32, 29.3466, 29.3444) * CHOOSE( CONTROL!$C$15, $D$11, 100%, $F$11)</f>
        <v>29.346599999999999</v>
      </c>
      <c r="H875" s="4">
        <f>CHOOSE( CONTROL!$C$32, 30.2977, 30.2954) * CHOOSE(CONTROL!$C$15, $D$11, 100%, $F$11)</f>
        <v>30.297699999999999</v>
      </c>
      <c r="I875" s="8">
        <f>CHOOSE( CONTROL!$C$32, 28.937, 28.9348) * CHOOSE(CONTROL!$C$15, $D$11, 100%, $F$11)</f>
        <v>28.937000000000001</v>
      </c>
      <c r="J875" s="4">
        <f>CHOOSE( CONTROL!$C$32, 28.8082, 28.806) * CHOOSE(CONTROL!$C$15, $D$11, 100%, $F$11)</f>
        <v>28.808199999999999</v>
      </c>
      <c r="K875" s="4"/>
      <c r="L875" s="9">
        <v>30.7165</v>
      </c>
      <c r="M875" s="9">
        <v>12.063700000000001</v>
      </c>
      <c r="N875" s="9">
        <v>4.9444999999999997</v>
      </c>
      <c r="O875" s="9">
        <v>0.37409999999999999</v>
      </c>
      <c r="P875" s="9">
        <v>1.2183999999999999</v>
      </c>
      <c r="Q875" s="9">
        <v>19.688099999999999</v>
      </c>
      <c r="R875" s="9"/>
      <c r="S875" s="11"/>
    </row>
    <row r="876" spans="1:19" ht="15.75">
      <c r="A876" s="13">
        <v>68180</v>
      </c>
      <c r="B876" s="8">
        <f>CHOOSE( CONTROL!$C$32, 27.7043, 27.702) * CHOOSE(CONTROL!$C$15, $D$11, 100%, $F$11)</f>
        <v>27.7043</v>
      </c>
      <c r="C876" s="8">
        <f>CHOOSE( CONTROL!$C$32, 27.7149, 27.7126) * CHOOSE(CONTROL!$C$15, $D$11, 100%, $F$11)</f>
        <v>27.7149</v>
      </c>
      <c r="D876" s="8">
        <f>CHOOSE( CONTROL!$C$32, 27.7491, 27.7468) * CHOOSE( CONTROL!$C$15, $D$11, 100%, $F$11)</f>
        <v>27.749099999999999</v>
      </c>
      <c r="E876" s="12">
        <f>CHOOSE( CONTROL!$C$32, 27.7351, 27.7328) * CHOOSE( CONTROL!$C$15, $D$11, 100%, $F$11)</f>
        <v>27.735099999999999</v>
      </c>
      <c r="F876" s="4">
        <f>CHOOSE( CONTROL!$C$32, 28.4333, 28.431) * CHOOSE(CONTROL!$C$15, $D$11, 100%, $F$11)</f>
        <v>28.433299999999999</v>
      </c>
      <c r="G876" s="8">
        <f>CHOOSE( CONTROL!$C$32, 27.0824, 27.0801) * CHOOSE( CONTROL!$C$15, $D$11, 100%, $F$11)</f>
        <v>27.0824</v>
      </c>
      <c r="H876" s="4">
        <f>CHOOSE( CONTROL!$C$32, 28.0333, 28.031) * CHOOSE(CONTROL!$C$15, $D$11, 100%, $F$11)</f>
        <v>28.033300000000001</v>
      </c>
      <c r="I876" s="8">
        <f>CHOOSE( CONTROL!$C$32, 26.7126, 26.7104) * CHOOSE(CONTROL!$C$15, $D$11, 100%, $F$11)</f>
        <v>26.712599999999998</v>
      </c>
      <c r="J876" s="4">
        <f>CHOOSE( CONTROL!$C$32, 26.5846, 26.5824) * CHOOSE(CONTROL!$C$15, $D$11, 100%, $F$11)</f>
        <v>26.584599999999998</v>
      </c>
      <c r="K876" s="4"/>
      <c r="L876" s="9">
        <v>30.7165</v>
      </c>
      <c r="M876" s="9">
        <v>12.063700000000001</v>
      </c>
      <c r="N876" s="9">
        <v>4.9444999999999997</v>
      </c>
      <c r="O876" s="9">
        <v>0.37409999999999999</v>
      </c>
      <c r="P876" s="9">
        <v>1.2183999999999999</v>
      </c>
      <c r="Q876" s="9">
        <v>19.688099999999999</v>
      </c>
      <c r="R876" s="9"/>
      <c r="S876" s="11"/>
    </row>
    <row r="877" spans="1:19" ht="15.75">
      <c r="A877" s="13">
        <v>68210</v>
      </c>
      <c r="B877" s="8">
        <f>CHOOSE( CONTROL!$C$32, 27.1243, 27.122) * CHOOSE(CONTROL!$C$15, $D$11, 100%, $F$11)</f>
        <v>27.124300000000002</v>
      </c>
      <c r="C877" s="8">
        <f>CHOOSE( CONTROL!$C$32, 27.1349, 27.1326) * CHOOSE(CONTROL!$C$15, $D$11, 100%, $F$11)</f>
        <v>27.134899999999998</v>
      </c>
      <c r="D877" s="8">
        <f>CHOOSE( CONTROL!$C$32, 27.1691, 27.1668) * CHOOSE( CONTROL!$C$15, $D$11, 100%, $F$11)</f>
        <v>27.1691</v>
      </c>
      <c r="E877" s="12">
        <f>CHOOSE( CONTROL!$C$32, 27.1551, 27.1528) * CHOOSE( CONTROL!$C$15, $D$11, 100%, $F$11)</f>
        <v>27.155100000000001</v>
      </c>
      <c r="F877" s="4">
        <f>CHOOSE( CONTROL!$C$32, 27.8533, 27.851) * CHOOSE(CONTROL!$C$15, $D$11, 100%, $F$11)</f>
        <v>27.853300000000001</v>
      </c>
      <c r="G877" s="8">
        <f>CHOOSE( CONTROL!$C$32, 26.5153, 26.513) * CHOOSE( CONTROL!$C$15, $D$11, 100%, $F$11)</f>
        <v>26.5153</v>
      </c>
      <c r="H877" s="4">
        <f>CHOOSE( CONTROL!$C$32, 27.4663, 27.464) * CHOOSE(CONTROL!$C$15, $D$11, 100%, $F$11)</f>
        <v>27.4663</v>
      </c>
      <c r="I877" s="8">
        <f>CHOOSE( CONTROL!$C$32, 26.1553, 26.1531) * CHOOSE(CONTROL!$C$15, $D$11, 100%, $F$11)</f>
        <v>26.1553</v>
      </c>
      <c r="J877" s="4">
        <f>CHOOSE( CONTROL!$C$32, 26.0278, 26.0255) * CHOOSE(CONTROL!$C$15, $D$11, 100%, $F$11)</f>
        <v>26.027799999999999</v>
      </c>
      <c r="K877" s="4"/>
      <c r="L877" s="9">
        <v>29.7257</v>
      </c>
      <c r="M877" s="9">
        <v>11.6745</v>
      </c>
      <c r="N877" s="9">
        <v>4.7850000000000001</v>
      </c>
      <c r="O877" s="9">
        <v>0.36199999999999999</v>
      </c>
      <c r="P877" s="9">
        <v>1.1791</v>
      </c>
      <c r="Q877" s="9">
        <v>19.053000000000001</v>
      </c>
      <c r="R877" s="9"/>
      <c r="S877" s="11"/>
    </row>
    <row r="878" spans="1:19" ht="15.75">
      <c r="A878" s="13">
        <v>68241</v>
      </c>
      <c r="B878" s="8">
        <f>28.3264 * CHOOSE(CONTROL!$C$15, $D$11, 100%, $F$11)</f>
        <v>28.3264</v>
      </c>
      <c r="C878" s="8">
        <f>28.3371 * CHOOSE(CONTROL!$C$15, $D$11, 100%, $F$11)</f>
        <v>28.3371</v>
      </c>
      <c r="D878" s="8">
        <f>28.3725 * CHOOSE( CONTROL!$C$15, $D$11, 100%, $F$11)</f>
        <v>28.372499999999999</v>
      </c>
      <c r="E878" s="12">
        <f>28.3597 * CHOOSE( CONTROL!$C$15, $D$11, 100%, $F$11)</f>
        <v>28.3597</v>
      </c>
      <c r="F878" s="4">
        <f>29.0552 * CHOOSE(CONTROL!$C$15, $D$11, 100%, $F$11)</f>
        <v>29.055199999999999</v>
      </c>
      <c r="G878" s="8">
        <f>27.6902 * CHOOSE( CONTROL!$C$15, $D$11, 100%, $F$11)</f>
        <v>27.690200000000001</v>
      </c>
      <c r="H878" s="4">
        <f>28.6413 * CHOOSE(CONTROL!$C$15, $D$11, 100%, $F$11)</f>
        <v>28.641300000000001</v>
      </c>
      <c r="I878" s="8">
        <f>27.3107 * CHOOSE(CONTROL!$C$15, $D$11, 100%, $F$11)</f>
        <v>27.310700000000001</v>
      </c>
      <c r="J878" s="4">
        <f>27.1817 * CHOOSE(CONTROL!$C$15, $D$11, 100%, $F$11)</f>
        <v>27.181699999999999</v>
      </c>
      <c r="K878" s="4"/>
      <c r="L878" s="9">
        <v>31.095300000000002</v>
      </c>
      <c r="M878" s="9">
        <v>12.063700000000001</v>
      </c>
      <c r="N878" s="9">
        <v>4.9444999999999997</v>
      </c>
      <c r="O878" s="9">
        <v>0.37409999999999999</v>
      </c>
      <c r="P878" s="9">
        <v>1.2183999999999999</v>
      </c>
      <c r="Q878" s="9">
        <v>19.688099999999999</v>
      </c>
      <c r="R878" s="9"/>
      <c r="S878" s="11"/>
    </row>
    <row r="879" spans="1:19" ht="15.75">
      <c r="A879" s="13">
        <v>68271</v>
      </c>
      <c r="B879" s="8">
        <f>30.5491 * CHOOSE(CONTROL!$C$15, $D$11, 100%, $F$11)</f>
        <v>30.549099999999999</v>
      </c>
      <c r="C879" s="8">
        <f>30.5598 * CHOOSE(CONTROL!$C$15, $D$11, 100%, $F$11)</f>
        <v>30.559799999999999</v>
      </c>
      <c r="D879" s="8">
        <f>30.5359 * CHOOSE( CONTROL!$C$15, $D$11, 100%, $F$11)</f>
        <v>30.535900000000002</v>
      </c>
      <c r="E879" s="12">
        <f>30.5435 * CHOOSE( CONTROL!$C$15, $D$11, 100%, $F$11)</f>
        <v>30.543500000000002</v>
      </c>
      <c r="F879" s="4">
        <f>31.2102 * CHOOSE(CONTROL!$C$15, $D$11, 100%, $F$11)</f>
        <v>31.2102</v>
      </c>
      <c r="G879" s="8">
        <f>29.8633 * CHOOSE( CONTROL!$C$15, $D$11, 100%, $F$11)</f>
        <v>29.863299999999999</v>
      </c>
      <c r="H879" s="4">
        <f>30.7483 * CHOOSE(CONTROL!$C$15, $D$11, 100%, $F$11)</f>
        <v>30.7483</v>
      </c>
      <c r="I879" s="8">
        <f>29.4892 * CHOOSE(CONTROL!$C$15, $D$11, 100%, $F$11)</f>
        <v>29.4892</v>
      </c>
      <c r="J879" s="4">
        <f>29.3157 * CHOOSE(CONTROL!$C$15, $D$11, 100%, $F$11)</f>
        <v>29.3157</v>
      </c>
      <c r="K879" s="4"/>
      <c r="L879" s="9">
        <v>28.360600000000002</v>
      </c>
      <c r="M879" s="9">
        <v>11.6745</v>
      </c>
      <c r="N879" s="9">
        <v>4.7850000000000001</v>
      </c>
      <c r="O879" s="9">
        <v>0.36199999999999999</v>
      </c>
      <c r="P879" s="9">
        <v>1.2509999999999999</v>
      </c>
      <c r="Q879" s="9">
        <v>19.053000000000001</v>
      </c>
      <c r="R879" s="9"/>
      <c r="S879" s="11"/>
    </row>
    <row r="880" spans="1:19" ht="15.75">
      <c r="A880" s="13">
        <v>68302</v>
      </c>
      <c r="B880" s="8">
        <f>30.4935 * CHOOSE(CONTROL!$C$15, $D$11, 100%, $F$11)</f>
        <v>30.493500000000001</v>
      </c>
      <c r="C880" s="8">
        <f>30.5043 * CHOOSE(CONTROL!$C$15, $D$11, 100%, $F$11)</f>
        <v>30.504300000000001</v>
      </c>
      <c r="D880" s="8">
        <f>30.482 * CHOOSE( CONTROL!$C$15, $D$11, 100%, $F$11)</f>
        <v>30.481999999999999</v>
      </c>
      <c r="E880" s="12">
        <f>30.489 * CHOOSE( CONTROL!$C$15, $D$11, 100%, $F$11)</f>
        <v>30.489000000000001</v>
      </c>
      <c r="F880" s="4">
        <f>31.1546 * CHOOSE(CONTROL!$C$15, $D$11, 100%, $F$11)</f>
        <v>31.154599999999999</v>
      </c>
      <c r="G880" s="8">
        <f>29.8102 * CHOOSE( CONTROL!$C$15, $D$11, 100%, $F$11)</f>
        <v>29.810199999999998</v>
      </c>
      <c r="H880" s="4">
        <f>30.694 * CHOOSE(CONTROL!$C$15, $D$11, 100%, $F$11)</f>
        <v>30.693999999999999</v>
      </c>
      <c r="I880" s="8">
        <f>29.441 * CHOOSE(CONTROL!$C$15, $D$11, 100%, $F$11)</f>
        <v>29.440999999999999</v>
      </c>
      <c r="J880" s="4">
        <f>29.2624 * CHOOSE(CONTROL!$C$15, $D$11, 100%, $F$11)</f>
        <v>29.2624</v>
      </c>
      <c r="K880" s="4"/>
      <c r="L880" s="9">
        <v>29.306000000000001</v>
      </c>
      <c r="M880" s="9">
        <v>12.063700000000001</v>
      </c>
      <c r="N880" s="9">
        <v>4.9444999999999997</v>
      </c>
      <c r="O880" s="9">
        <v>0.37409999999999999</v>
      </c>
      <c r="P880" s="9">
        <v>1.2927</v>
      </c>
      <c r="Q880" s="9">
        <v>19.688099999999999</v>
      </c>
      <c r="R880" s="9"/>
      <c r="S880" s="11"/>
    </row>
    <row r="881" spans="1:19" ht="15.75">
      <c r="A881" s="13">
        <v>68333</v>
      </c>
      <c r="B881" s="8">
        <f>31.3926 * CHOOSE(CONTROL!$C$15, $D$11, 100%, $F$11)</f>
        <v>31.392600000000002</v>
      </c>
      <c r="C881" s="8">
        <f>31.4033 * CHOOSE(CONTROL!$C$15, $D$11, 100%, $F$11)</f>
        <v>31.403300000000002</v>
      </c>
      <c r="D881" s="8">
        <f>31.3849 * CHOOSE( CONTROL!$C$15, $D$11, 100%, $F$11)</f>
        <v>31.384899999999998</v>
      </c>
      <c r="E881" s="12">
        <f>31.3905 * CHOOSE( CONTROL!$C$15, $D$11, 100%, $F$11)</f>
        <v>31.390499999999999</v>
      </c>
      <c r="F881" s="4">
        <f>32.0537 * CHOOSE(CONTROL!$C$15, $D$11, 100%, $F$11)</f>
        <v>32.053699999999999</v>
      </c>
      <c r="G881" s="8">
        <f>30.6848 * CHOOSE( CONTROL!$C$15, $D$11, 100%, $F$11)</f>
        <v>30.684799999999999</v>
      </c>
      <c r="H881" s="4">
        <f>31.573 * CHOOSE(CONTROL!$C$15, $D$11, 100%, $F$11)</f>
        <v>31.573</v>
      </c>
      <c r="I881" s="8">
        <f>30.26 * CHOOSE(CONTROL!$C$15, $D$11, 100%, $F$11)</f>
        <v>30.26</v>
      </c>
      <c r="J881" s="4">
        <f>30.1255 * CHOOSE(CONTROL!$C$15, $D$11, 100%, $F$11)</f>
        <v>30.125499999999999</v>
      </c>
      <c r="K881" s="4"/>
      <c r="L881" s="9">
        <v>29.306000000000001</v>
      </c>
      <c r="M881" s="9">
        <v>12.063700000000001</v>
      </c>
      <c r="N881" s="9">
        <v>4.9444999999999997</v>
      </c>
      <c r="O881" s="9">
        <v>0.37409999999999999</v>
      </c>
      <c r="P881" s="9">
        <v>1.2927</v>
      </c>
      <c r="Q881" s="9">
        <v>19.688099999999999</v>
      </c>
      <c r="R881" s="9"/>
      <c r="S881" s="11"/>
    </row>
    <row r="882" spans="1:19" ht="15.75">
      <c r="A882" s="13">
        <v>68361</v>
      </c>
      <c r="B882" s="8">
        <f>29.3641 * CHOOSE(CONTROL!$C$15, $D$11, 100%, $F$11)</f>
        <v>29.364100000000001</v>
      </c>
      <c r="C882" s="8">
        <f>29.3748 * CHOOSE(CONTROL!$C$15, $D$11, 100%, $F$11)</f>
        <v>29.3748</v>
      </c>
      <c r="D882" s="8">
        <f>29.3563 * CHOOSE( CONTROL!$C$15, $D$11, 100%, $F$11)</f>
        <v>29.356300000000001</v>
      </c>
      <c r="E882" s="12">
        <f>29.3619 * CHOOSE( CONTROL!$C$15, $D$11, 100%, $F$11)</f>
        <v>29.361899999999999</v>
      </c>
      <c r="F882" s="4">
        <f>30.0252 * CHOOSE(CONTROL!$C$15, $D$11, 100%, $F$11)</f>
        <v>30.025200000000002</v>
      </c>
      <c r="G882" s="8">
        <f>28.7014 * CHOOSE( CONTROL!$C$15, $D$11, 100%, $F$11)</f>
        <v>28.7014</v>
      </c>
      <c r="H882" s="4">
        <f>29.5897 * CHOOSE(CONTROL!$C$15, $D$11, 100%, $F$11)</f>
        <v>29.589700000000001</v>
      </c>
      <c r="I882" s="8">
        <f>28.3109 * CHOOSE(CONTROL!$C$15, $D$11, 100%, $F$11)</f>
        <v>28.3109</v>
      </c>
      <c r="J882" s="4">
        <f>28.178 * CHOOSE(CONTROL!$C$15, $D$11, 100%, $F$11)</f>
        <v>28.178000000000001</v>
      </c>
      <c r="K882" s="4"/>
      <c r="L882" s="9">
        <v>26.469899999999999</v>
      </c>
      <c r="M882" s="9">
        <v>10.8962</v>
      </c>
      <c r="N882" s="9">
        <v>4.4660000000000002</v>
      </c>
      <c r="O882" s="9">
        <v>0.33789999999999998</v>
      </c>
      <c r="P882" s="9">
        <v>1.1676</v>
      </c>
      <c r="Q882" s="9">
        <v>17.782800000000002</v>
      </c>
      <c r="R882" s="9"/>
      <c r="S882" s="11"/>
    </row>
    <row r="883" spans="1:19" ht="15.75">
      <c r="A883" s="13">
        <v>68392</v>
      </c>
      <c r="B883" s="8">
        <f>28.7393 * CHOOSE(CONTROL!$C$15, $D$11, 100%, $F$11)</f>
        <v>28.7393</v>
      </c>
      <c r="C883" s="8">
        <f>28.75 * CHOOSE(CONTROL!$C$15, $D$11, 100%, $F$11)</f>
        <v>28.75</v>
      </c>
      <c r="D883" s="8">
        <f>28.731 * CHOOSE( CONTROL!$C$15, $D$11, 100%, $F$11)</f>
        <v>28.731000000000002</v>
      </c>
      <c r="E883" s="12">
        <f>28.7368 * CHOOSE( CONTROL!$C$15, $D$11, 100%, $F$11)</f>
        <v>28.736799999999999</v>
      </c>
      <c r="F883" s="4">
        <f>29.4004 * CHOOSE(CONTROL!$C$15, $D$11, 100%, $F$11)</f>
        <v>29.400400000000001</v>
      </c>
      <c r="G883" s="8">
        <f>28.0902 * CHOOSE( CONTROL!$C$15, $D$11, 100%, $F$11)</f>
        <v>28.090199999999999</v>
      </c>
      <c r="H883" s="4">
        <f>28.9789 * CHOOSE(CONTROL!$C$15, $D$11, 100%, $F$11)</f>
        <v>28.978899999999999</v>
      </c>
      <c r="I883" s="8">
        <f>27.7093 * CHOOSE(CONTROL!$C$15, $D$11, 100%, $F$11)</f>
        <v>27.709299999999999</v>
      </c>
      <c r="J883" s="4">
        <f>27.5781 * CHOOSE(CONTROL!$C$15, $D$11, 100%, $F$11)</f>
        <v>27.578099999999999</v>
      </c>
      <c r="K883" s="4"/>
      <c r="L883" s="9">
        <v>29.306000000000001</v>
      </c>
      <c r="M883" s="9">
        <v>12.063700000000001</v>
      </c>
      <c r="N883" s="9">
        <v>4.9444999999999997</v>
      </c>
      <c r="O883" s="9">
        <v>0.37409999999999999</v>
      </c>
      <c r="P883" s="9">
        <v>1.2927</v>
      </c>
      <c r="Q883" s="9">
        <v>19.688099999999999</v>
      </c>
      <c r="R883" s="9"/>
      <c r="S883" s="11"/>
    </row>
    <row r="884" spans="1:19" ht="15.75">
      <c r="A884" s="13">
        <v>68422</v>
      </c>
      <c r="B884" s="8">
        <f>29.1758 * CHOOSE(CONTROL!$C$15, $D$11, 100%, $F$11)</f>
        <v>29.175799999999999</v>
      </c>
      <c r="C884" s="8">
        <f>29.1866 * CHOOSE(CONTROL!$C$15, $D$11, 100%, $F$11)</f>
        <v>29.186599999999999</v>
      </c>
      <c r="D884" s="8">
        <f>29.2214 * CHOOSE( CONTROL!$C$15, $D$11, 100%, $F$11)</f>
        <v>29.221399999999999</v>
      </c>
      <c r="E884" s="12">
        <f>29.2087 * CHOOSE( CONTROL!$C$15, $D$11, 100%, $F$11)</f>
        <v>29.2087</v>
      </c>
      <c r="F884" s="4">
        <f>29.9047 * CHOOSE(CONTROL!$C$15, $D$11, 100%, $F$11)</f>
        <v>29.904699999999998</v>
      </c>
      <c r="G884" s="8">
        <f>28.5198 * CHOOSE( CONTROL!$C$15, $D$11, 100%, $F$11)</f>
        <v>28.5198</v>
      </c>
      <c r="H884" s="4">
        <f>29.4719 * CHOOSE(CONTROL!$C$15, $D$11, 100%, $F$11)</f>
        <v>29.471900000000002</v>
      </c>
      <c r="I884" s="8">
        <f>28.1239 * CHOOSE(CONTROL!$C$15, $D$11, 100%, $F$11)</f>
        <v>28.123899999999999</v>
      </c>
      <c r="J884" s="4">
        <f>27.9973 * CHOOSE(CONTROL!$C$15, $D$11, 100%, $F$11)</f>
        <v>27.997299999999999</v>
      </c>
      <c r="K884" s="4"/>
      <c r="L884" s="9">
        <v>30.092199999999998</v>
      </c>
      <c r="M884" s="9">
        <v>11.6745</v>
      </c>
      <c r="N884" s="9">
        <v>4.7850000000000001</v>
      </c>
      <c r="O884" s="9">
        <v>0.36199999999999999</v>
      </c>
      <c r="P884" s="9">
        <v>1.1791</v>
      </c>
      <c r="Q884" s="9">
        <v>19.053000000000001</v>
      </c>
      <c r="R884" s="9"/>
      <c r="S884" s="11"/>
    </row>
    <row r="885" spans="1:19" ht="15.75">
      <c r="A885" s="13">
        <v>68453</v>
      </c>
      <c r="B885" s="8">
        <f>CHOOSE( CONTROL!$C$32, 29.955, 29.9527) * CHOOSE(CONTROL!$C$15, $D$11, 100%, $F$11)</f>
        <v>29.954999999999998</v>
      </c>
      <c r="C885" s="8">
        <f>CHOOSE( CONTROL!$C$32, 29.9656, 29.9633) * CHOOSE(CONTROL!$C$15, $D$11, 100%, $F$11)</f>
        <v>29.965599999999998</v>
      </c>
      <c r="D885" s="8">
        <f>CHOOSE( CONTROL!$C$32, 29.9994, 29.9971) * CHOOSE( CONTROL!$C$15, $D$11, 100%, $F$11)</f>
        <v>29.999400000000001</v>
      </c>
      <c r="E885" s="12">
        <f>CHOOSE( CONTROL!$C$32, 29.9855, 29.9832) * CHOOSE( CONTROL!$C$15, $D$11, 100%, $F$11)</f>
        <v>29.985499999999998</v>
      </c>
      <c r="F885" s="4">
        <f>CHOOSE( CONTROL!$C$32, 30.684, 30.6817) * CHOOSE(CONTROL!$C$15, $D$11, 100%, $F$11)</f>
        <v>30.684000000000001</v>
      </c>
      <c r="G885" s="8">
        <f>CHOOSE( CONTROL!$C$32, 29.2822, 29.28) * CHOOSE( CONTROL!$C$15, $D$11, 100%, $F$11)</f>
        <v>29.2822</v>
      </c>
      <c r="H885" s="4">
        <f>CHOOSE( CONTROL!$C$32, 30.2338, 30.2316) * CHOOSE(CONTROL!$C$15, $D$11, 100%, $F$11)</f>
        <v>30.233799999999999</v>
      </c>
      <c r="I885" s="8">
        <f>CHOOSE( CONTROL!$C$32, 28.8726, 28.8704) * CHOOSE(CONTROL!$C$15, $D$11, 100%, $F$11)</f>
        <v>28.872599999999998</v>
      </c>
      <c r="J885" s="4">
        <f>CHOOSE( CONTROL!$C$32, 28.7455, 28.7433) * CHOOSE(CONTROL!$C$15, $D$11, 100%, $F$11)</f>
        <v>28.7455</v>
      </c>
      <c r="K885" s="4"/>
      <c r="L885" s="9">
        <v>30.7165</v>
      </c>
      <c r="M885" s="9">
        <v>12.063700000000001</v>
      </c>
      <c r="N885" s="9">
        <v>4.9444999999999997</v>
      </c>
      <c r="O885" s="9">
        <v>0.37409999999999999</v>
      </c>
      <c r="P885" s="9">
        <v>1.2183999999999999</v>
      </c>
      <c r="Q885" s="9">
        <v>19.688099999999999</v>
      </c>
      <c r="R885" s="9"/>
      <c r="S885" s="11"/>
    </row>
    <row r="886" spans="1:19" ht="15.75">
      <c r="A886" s="13">
        <v>68483</v>
      </c>
      <c r="B886" s="8">
        <f>CHOOSE( CONTROL!$C$32, 29.4737, 29.4714) * CHOOSE(CONTROL!$C$15, $D$11, 100%, $F$11)</f>
        <v>29.473700000000001</v>
      </c>
      <c r="C886" s="8">
        <f>CHOOSE( CONTROL!$C$32, 29.4843, 29.482) * CHOOSE(CONTROL!$C$15, $D$11, 100%, $F$11)</f>
        <v>29.484300000000001</v>
      </c>
      <c r="D886" s="8">
        <f>CHOOSE( CONTROL!$C$32, 29.5183, 29.516) * CHOOSE( CONTROL!$C$15, $D$11, 100%, $F$11)</f>
        <v>29.5183</v>
      </c>
      <c r="E886" s="12">
        <f>CHOOSE( CONTROL!$C$32, 29.5044, 29.5021) * CHOOSE( CONTROL!$C$15, $D$11, 100%, $F$11)</f>
        <v>29.5044</v>
      </c>
      <c r="F886" s="4">
        <f>CHOOSE( CONTROL!$C$32, 30.2026, 30.2003) * CHOOSE(CONTROL!$C$15, $D$11, 100%, $F$11)</f>
        <v>30.2026</v>
      </c>
      <c r="G886" s="8">
        <f>CHOOSE( CONTROL!$C$32, 28.8119, 28.8096) * CHOOSE( CONTROL!$C$15, $D$11, 100%, $F$11)</f>
        <v>28.811900000000001</v>
      </c>
      <c r="H886" s="4">
        <f>CHOOSE( CONTROL!$C$32, 29.7632, 29.761) * CHOOSE(CONTROL!$C$15, $D$11, 100%, $F$11)</f>
        <v>29.763200000000001</v>
      </c>
      <c r="I886" s="8">
        <f>CHOOSE( CONTROL!$C$32, 28.411, 28.4087) * CHOOSE(CONTROL!$C$15, $D$11, 100%, $F$11)</f>
        <v>28.411000000000001</v>
      </c>
      <c r="J886" s="4">
        <f>CHOOSE( CONTROL!$C$32, 28.2834, 28.2812) * CHOOSE(CONTROL!$C$15, $D$11, 100%, $F$11)</f>
        <v>28.2834</v>
      </c>
      <c r="K886" s="4"/>
      <c r="L886" s="9">
        <v>29.7257</v>
      </c>
      <c r="M886" s="9">
        <v>11.6745</v>
      </c>
      <c r="N886" s="9">
        <v>4.7850000000000001</v>
      </c>
      <c r="O886" s="9">
        <v>0.36199999999999999</v>
      </c>
      <c r="P886" s="9">
        <v>1.1791</v>
      </c>
      <c r="Q886" s="9">
        <v>19.053000000000001</v>
      </c>
      <c r="R886" s="9"/>
      <c r="S886" s="11"/>
    </row>
    <row r="887" spans="1:19" ht="15.75">
      <c r="A887" s="13">
        <v>68514</v>
      </c>
      <c r="B887" s="8">
        <f>CHOOSE( CONTROL!$C$32, 30.7412, 30.7389) * CHOOSE(CONTROL!$C$15, $D$11, 100%, $F$11)</f>
        <v>30.741199999999999</v>
      </c>
      <c r="C887" s="8">
        <f>CHOOSE( CONTROL!$C$32, 30.7518, 30.7495) * CHOOSE(CONTROL!$C$15, $D$11, 100%, $F$11)</f>
        <v>30.751799999999999</v>
      </c>
      <c r="D887" s="8">
        <f>CHOOSE( CONTROL!$C$32, 30.786, 30.7837) * CHOOSE( CONTROL!$C$15, $D$11, 100%, $F$11)</f>
        <v>30.786000000000001</v>
      </c>
      <c r="E887" s="12">
        <f>CHOOSE( CONTROL!$C$32, 30.772, 30.7697) * CHOOSE( CONTROL!$C$15, $D$11, 100%, $F$11)</f>
        <v>30.771999999999998</v>
      </c>
      <c r="F887" s="4">
        <f>CHOOSE( CONTROL!$C$32, 31.4702, 31.4679) * CHOOSE(CONTROL!$C$15, $D$11, 100%, $F$11)</f>
        <v>31.470199999999998</v>
      </c>
      <c r="G887" s="8">
        <f>CHOOSE( CONTROL!$C$32, 30.0515, 30.0492) * CHOOSE( CONTROL!$C$15, $D$11, 100%, $F$11)</f>
        <v>30.051500000000001</v>
      </c>
      <c r="H887" s="4">
        <f>CHOOSE( CONTROL!$C$32, 31.0025, 31.0002) * CHOOSE(CONTROL!$C$15, $D$11, 100%, $F$11)</f>
        <v>31.002500000000001</v>
      </c>
      <c r="I887" s="8">
        <f>CHOOSE( CONTROL!$C$32, 29.6295, 29.6273) * CHOOSE(CONTROL!$C$15, $D$11, 100%, $F$11)</f>
        <v>29.6295</v>
      </c>
      <c r="J887" s="4">
        <f>CHOOSE( CONTROL!$C$32, 29.5003, 29.4981) * CHOOSE(CONTROL!$C$15, $D$11, 100%, $F$11)</f>
        <v>29.500299999999999</v>
      </c>
      <c r="K887" s="4"/>
      <c r="L887" s="9">
        <v>30.7165</v>
      </c>
      <c r="M887" s="9">
        <v>12.063700000000001</v>
      </c>
      <c r="N887" s="9">
        <v>4.9444999999999997</v>
      </c>
      <c r="O887" s="9">
        <v>0.37409999999999999</v>
      </c>
      <c r="P887" s="9">
        <v>1.2183999999999999</v>
      </c>
      <c r="Q887" s="9">
        <v>19.688099999999999</v>
      </c>
      <c r="R887" s="9"/>
      <c r="S887" s="11"/>
    </row>
    <row r="888" spans="1:19" ht="15.75">
      <c r="A888" s="13">
        <v>68545</v>
      </c>
      <c r="B888" s="8">
        <f>CHOOSE( CONTROL!$C$32, 28.3696, 28.3673) * CHOOSE(CONTROL!$C$15, $D$11, 100%, $F$11)</f>
        <v>28.369599999999998</v>
      </c>
      <c r="C888" s="8">
        <f>CHOOSE( CONTROL!$C$32, 28.3801, 28.3778) * CHOOSE(CONTROL!$C$15, $D$11, 100%, $F$11)</f>
        <v>28.380099999999999</v>
      </c>
      <c r="D888" s="8">
        <f>CHOOSE( CONTROL!$C$32, 28.4144, 28.4121) * CHOOSE( CONTROL!$C$15, $D$11, 100%, $F$11)</f>
        <v>28.414400000000001</v>
      </c>
      <c r="E888" s="12">
        <f>CHOOSE( CONTROL!$C$32, 28.4004, 28.3981) * CHOOSE( CONTROL!$C$15, $D$11, 100%, $F$11)</f>
        <v>28.400400000000001</v>
      </c>
      <c r="F888" s="4">
        <f>CHOOSE( CONTROL!$C$32, 29.0985, 29.0962) * CHOOSE(CONTROL!$C$15, $D$11, 100%, $F$11)</f>
        <v>29.098500000000001</v>
      </c>
      <c r="G888" s="8">
        <f>CHOOSE( CONTROL!$C$32, 27.7328, 27.7305) * CHOOSE( CONTROL!$C$15, $D$11, 100%, $F$11)</f>
        <v>27.732800000000001</v>
      </c>
      <c r="H888" s="4">
        <f>CHOOSE( CONTROL!$C$32, 28.6837, 28.6814) * CHOOSE(CONTROL!$C$15, $D$11, 100%, $F$11)</f>
        <v>28.683700000000002</v>
      </c>
      <c r="I888" s="8">
        <f>CHOOSE( CONTROL!$C$32, 27.3516, 27.3494) * CHOOSE(CONTROL!$C$15, $D$11, 100%, $F$11)</f>
        <v>27.351600000000001</v>
      </c>
      <c r="J888" s="4">
        <f>CHOOSE( CONTROL!$C$32, 27.2233, 27.2211) * CHOOSE(CONTROL!$C$15, $D$11, 100%, $F$11)</f>
        <v>27.223299999999998</v>
      </c>
      <c r="K888" s="4"/>
      <c r="L888" s="9">
        <v>30.7165</v>
      </c>
      <c r="M888" s="9">
        <v>12.063700000000001</v>
      </c>
      <c r="N888" s="9">
        <v>4.9444999999999997</v>
      </c>
      <c r="O888" s="9">
        <v>0.37409999999999999</v>
      </c>
      <c r="P888" s="9">
        <v>1.2183999999999999</v>
      </c>
      <c r="Q888" s="9">
        <v>19.688099999999999</v>
      </c>
      <c r="R888" s="9"/>
      <c r="S888" s="11"/>
    </row>
    <row r="889" spans="1:19" ht="15.75">
      <c r="A889" s="13">
        <v>68575</v>
      </c>
      <c r="B889" s="8">
        <f>CHOOSE( CONTROL!$C$32, 27.7757, 27.7734) * CHOOSE(CONTROL!$C$15, $D$11, 100%, $F$11)</f>
        <v>27.775700000000001</v>
      </c>
      <c r="C889" s="8">
        <f>CHOOSE( CONTROL!$C$32, 27.7862, 27.7839) * CHOOSE(CONTROL!$C$15, $D$11, 100%, $F$11)</f>
        <v>27.786200000000001</v>
      </c>
      <c r="D889" s="8">
        <f>CHOOSE( CONTROL!$C$32, 27.8205, 27.8182) * CHOOSE( CONTROL!$C$15, $D$11, 100%, $F$11)</f>
        <v>27.820499999999999</v>
      </c>
      <c r="E889" s="12">
        <f>CHOOSE( CONTROL!$C$32, 27.8065, 27.8042) * CHOOSE( CONTROL!$C$15, $D$11, 100%, $F$11)</f>
        <v>27.8065</v>
      </c>
      <c r="F889" s="4">
        <f>CHOOSE( CONTROL!$C$32, 28.5046, 28.5023) * CHOOSE(CONTROL!$C$15, $D$11, 100%, $F$11)</f>
        <v>28.5046</v>
      </c>
      <c r="G889" s="8">
        <f>CHOOSE( CONTROL!$C$32, 27.1521, 27.1498) * CHOOSE( CONTROL!$C$15, $D$11, 100%, $F$11)</f>
        <v>27.152100000000001</v>
      </c>
      <c r="H889" s="4">
        <f>CHOOSE( CONTROL!$C$32, 28.103, 28.1008) * CHOOSE(CONTROL!$C$15, $D$11, 100%, $F$11)</f>
        <v>28.103000000000002</v>
      </c>
      <c r="I889" s="8">
        <f>CHOOSE( CONTROL!$C$32, 26.781, 26.7788) * CHOOSE(CONTROL!$C$15, $D$11, 100%, $F$11)</f>
        <v>26.780999999999999</v>
      </c>
      <c r="J889" s="4">
        <f>CHOOSE( CONTROL!$C$32, 26.6531, 26.6509) * CHOOSE(CONTROL!$C$15, $D$11, 100%, $F$11)</f>
        <v>26.653099999999998</v>
      </c>
      <c r="K889" s="4"/>
      <c r="L889" s="9">
        <v>29.7257</v>
      </c>
      <c r="M889" s="9">
        <v>11.6745</v>
      </c>
      <c r="N889" s="9">
        <v>4.7850000000000001</v>
      </c>
      <c r="O889" s="9">
        <v>0.36199999999999999</v>
      </c>
      <c r="P889" s="9">
        <v>1.1791</v>
      </c>
      <c r="Q889" s="9">
        <v>19.053000000000001</v>
      </c>
      <c r="R889" s="9"/>
      <c r="S889" s="11"/>
    </row>
    <row r="890" spans="1:19" ht="15.75">
      <c r="A890" s="13">
        <v>68606</v>
      </c>
      <c r="B890" s="8">
        <f>29.0066 * CHOOSE(CONTROL!$C$15, $D$11, 100%, $F$11)</f>
        <v>29.006599999999999</v>
      </c>
      <c r="C890" s="8">
        <f>29.0173 * CHOOSE(CONTROL!$C$15, $D$11, 100%, $F$11)</f>
        <v>29.017299999999999</v>
      </c>
      <c r="D890" s="8">
        <f>29.0528 * CHOOSE( CONTROL!$C$15, $D$11, 100%, $F$11)</f>
        <v>29.052800000000001</v>
      </c>
      <c r="E890" s="12">
        <f>29.0399 * CHOOSE( CONTROL!$C$15, $D$11, 100%, $F$11)</f>
        <v>29.039899999999999</v>
      </c>
      <c r="F890" s="4">
        <f>29.7354 * CHOOSE(CONTROL!$C$15, $D$11, 100%, $F$11)</f>
        <v>29.735399999999998</v>
      </c>
      <c r="G890" s="8">
        <f>28.3553 * CHOOSE( CONTROL!$C$15, $D$11, 100%, $F$11)</f>
        <v>28.3553</v>
      </c>
      <c r="H890" s="4">
        <f>29.3064 * CHOOSE(CONTROL!$C$15, $D$11, 100%, $F$11)</f>
        <v>29.3064</v>
      </c>
      <c r="I890" s="8">
        <f>27.9642 * CHOOSE(CONTROL!$C$15, $D$11, 100%, $F$11)</f>
        <v>27.964200000000002</v>
      </c>
      <c r="J890" s="4">
        <f>27.8348 * CHOOSE(CONTROL!$C$15, $D$11, 100%, $F$11)</f>
        <v>27.834800000000001</v>
      </c>
      <c r="K890" s="4"/>
      <c r="L890" s="9">
        <v>31.095300000000002</v>
      </c>
      <c r="M890" s="9">
        <v>12.063700000000001</v>
      </c>
      <c r="N890" s="9">
        <v>4.9444999999999997</v>
      </c>
      <c r="O890" s="9">
        <v>0.37409999999999999</v>
      </c>
      <c r="P890" s="9">
        <v>1.2183999999999999</v>
      </c>
      <c r="Q890" s="9">
        <v>19.688099999999999</v>
      </c>
      <c r="R890" s="9"/>
      <c r="S890" s="11"/>
    </row>
    <row r="891" spans="1:19" ht="15.75">
      <c r="A891" s="13">
        <v>68636</v>
      </c>
      <c r="B891" s="8">
        <f>31.2827 * CHOOSE(CONTROL!$C$15, $D$11, 100%, $F$11)</f>
        <v>31.282699999999998</v>
      </c>
      <c r="C891" s="8">
        <f>31.2935 * CHOOSE(CONTROL!$C$15, $D$11, 100%, $F$11)</f>
        <v>31.293500000000002</v>
      </c>
      <c r="D891" s="8">
        <f>31.2695 * CHOOSE( CONTROL!$C$15, $D$11, 100%, $F$11)</f>
        <v>31.269500000000001</v>
      </c>
      <c r="E891" s="12">
        <f>31.2771 * CHOOSE( CONTROL!$C$15, $D$11, 100%, $F$11)</f>
        <v>31.277100000000001</v>
      </c>
      <c r="F891" s="4">
        <f>31.9438 * CHOOSE(CONTROL!$C$15, $D$11, 100%, $F$11)</f>
        <v>31.9438</v>
      </c>
      <c r="G891" s="8">
        <f>30.5806 * CHOOSE( CONTROL!$C$15, $D$11, 100%, $F$11)</f>
        <v>30.5806</v>
      </c>
      <c r="H891" s="4">
        <f>31.4656 * CHOOSE(CONTROL!$C$15, $D$11, 100%, $F$11)</f>
        <v>31.465599999999998</v>
      </c>
      <c r="I891" s="8">
        <f>30.1939 * CHOOSE(CONTROL!$C$15, $D$11, 100%, $F$11)</f>
        <v>30.193899999999999</v>
      </c>
      <c r="J891" s="4">
        <f>30.0201 * CHOOSE(CONTROL!$C$15, $D$11, 100%, $F$11)</f>
        <v>30.020099999999999</v>
      </c>
      <c r="K891" s="4"/>
      <c r="L891" s="9">
        <v>28.360600000000002</v>
      </c>
      <c r="M891" s="9">
        <v>11.6745</v>
      </c>
      <c r="N891" s="9">
        <v>4.7850000000000001</v>
      </c>
      <c r="O891" s="9">
        <v>0.36199999999999999</v>
      </c>
      <c r="P891" s="9">
        <v>1.2509999999999999</v>
      </c>
      <c r="Q891" s="9">
        <v>19.053000000000001</v>
      </c>
      <c r="R891" s="9"/>
      <c r="S891" s="11"/>
    </row>
    <row r="892" spans="1:19" ht="15.75">
      <c r="A892" s="13">
        <v>68667</v>
      </c>
      <c r="B892" s="8">
        <f>31.2259 * CHOOSE(CONTROL!$C$15, $D$11, 100%, $F$11)</f>
        <v>31.225899999999999</v>
      </c>
      <c r="C892" s="8">
        <f>31.2366 * CHOOSE(CONTROL!$C$15, $D$11, 100%, $F$11)</f>
        <v>31.236599999999999</v>
      </c>
      <c r="D892" s="8">
        <f>31.2144 * CHOOSE( CONTROL!$C$15, $D$11, 100%, $F$11)</f>
        <v>31.214400000000001</v>
      </c>
      <c r="E892" s="12">
        <f>31.2214 * CHOOSE( CONTROL!$C$15, $D$11, 100%, $F$11)</f>
        <v>31.221399999999999</v>
      </c>
      <c r="F892" s="4">
        <f>31.887 * CHOOSE(CONTROL!$C$15, $D$11, 100%, $F$11)</f>
        <v>31.887</v>
      </c>
      <c r="G892" s="8">
        <f>30.5262 * CHOOSE( CONTROL!$C$15, $D$11, 100%, $F$11)</f>
        <v>30.526199999999999</v>
      </c>
      <c r="H892" s="4">
        <f>31.41 * CHOOSE(CONTROL!$C$15, $D$11, 100%, $F$11)</f>
        <v>31.41</v>
      </c>
      <c r="I892" s="8">
        <f>30.1445 * CHOOSE(CONTROL!$C$15, $D$11, 100%, $F$11)</f>
        <v>30.144500000000001</v>
      </c>
      <c r="J892" s="4">
        <f>29.9655 * CHOOSE(CONTROL!$C$15, $D$11, 100%, $F$11)</f>
        <v>29.965499999999999</v>
      </c>
      <c r="K892" s="4"/>
      <c r="L892" s="9">
        <v>29.306000000000001</v>
      </c>
      <c r="M892" s="9">
        <v>12.063700000000001</v>
      </c>
      <c r="N892" s="9">
        <v>4.9444999999999997</v>
      </c>
      <c r="O892" s="9">
        <v>0.37409999999999999</v>
      </c>
      <c r="P892" s="9">
        <v>1.2927</v>
      </c>
      <c r="Q892" s="9">
        <v>19.688099999999999</v>
      </c>
      <c r="R892" s="9"/>
      <c r="S892" s="11"/>
    </row>
    <row r="893" spans="1:19" ht="15.75">
      <c r="A893" s="13">
        <v>68698</v>
      </c>
      <c r="B893" s="8">
        <f>32.1465 * CHOOSE(CONTROL!$C$15, $D$11, 100%, $F$11)</f>
        <v>32.146500000000003</v>
      </c>
      <c r="C893" s="8">
        <f>32.1572 * CHOOSE(CONTROL!$C$15, $D$11, 100%, $F$11)</f>
        <v>32.157200000000003</v>
      </c>
      <c r="D893" s="8">
        <f>32.1388 * CHOOSE( CONTROL!$C$15, $D$11, 100%, $F$11)</f>
        <v>32.138800000000003</v>
      </c>
      <c r="E893" s="12">
        <f>32.1444 * CHOOSE( CONTROL!$C$15, $D$11, 100%, $F$11)</f>
        <v>32.144399999999997</v>
      </c>
      <c r="F893" s="4">
        <f>32.8076 * CHOOSE(CONTROL!$C$15, $D$11, 100%, $F$11)</f>
        <v>32.807600000000001</v>
      </c>
      <c r="G893" s="8">
        <f>31.4219 * CHOOSE( CONTROL!$C$15, $D$11, 100%, $F$11)</f>
        <v>31.421900000000001</v>
      </c>
      <c r="H893" s="4">
        <f>32.3101 * CHOOSE(CONTROL!$C$15, $D$11, 100%, $F$11)</f>
        <v>32.310099999999998</v>
      </c>
      <c r="I893" s="8">
        <f>30.9842 * CHOOSE(CONTROL!$C$15, $D$11, 100%, $F$11)</f>
        <v>30.984200000000001</v>
      </c>
      <c r="J893" s="4">
        <f>30.8494 * CHOOSE(CONTROL!$C$15, $D$11, 100%, $F$11)</f>
        <v>30.849399999999999</v>
      </c>
      <c r="K893" s="4"/>
      <c r="L893" s="9">
        <v>29.306000000000001</v>
      </c>
      <c r="M893" s="9">
        <v>12.063700000000001</v>
      </c>
      <c r="N893" s="9">
        <v>4.9444999999999997</v>
      </c>
      <c r="O893" s="9">
        <v>0.37409999999999999</v>
      </c>
      <c r="P893" s="9">
        <v>1.2927</v>
      </c>
      <c r="Q893" s="9">
        <v>19.688099999999999</v>
      </c>
      <c r="R893" s="9"/>
      <c r="S893" s="11"/>
    </row>
    <row r="894" spans="1:19" ht="15.75">
      <c r="A894" s="13">
        <v>68727</v>
      </c>
      <c r="B894" s="8">
        <f>30.0692 * CHOOSE(CONTROL!$C$15, $D$11, 100%, $F$11)</f>
        <v>30.069199999999999</v>
      </c>
      <c r="C894" s="8">
        <f>30.08 * CHOOSE(CONTROL!$C$15, $D$11, 100%, $F$11)</f>
        <v>30.08</v>
      </c>
      <c r="D894" s="8">
        <f>30.0614 * CHOOSE( CONTROL!$C$15, $D$11, 100%, $F$11)</f>
        <v>30.061399999999999</v>
      </c>
      <c r="E894" s="12">
        <f>30.0671 * CHOOSE( CONTROL!$C$15, $D$11, 100%, $F$11)</f>
        <v>30.0671</v>
      </c>
      <c r="F894" s="4">
        <f>30.7303 * CHOOSE(CONTROL!$C$15, $D$11, 100%, $F$11)</f>
        <v>30.7303</v>
      </c>
      <c r="G894" s="8">
        <f>29.3909 * CHOOSE( CONTROL!$C$15, $D$11, 100%, $F$11)</f>
        <v>29.390899999999998</v>
      </c>
      <c r="H894" s="4">
        <f>30.2791 * CHOOSE(CONTROL!$C$15, $D$11, 100%, $F$11)</f>
        <v>30.2791</v>
      </c>
      <c r="I894" s="8">
        <f>28.9883 * CHOOSE(CONTROL!$C$15, $D$11, 100%, $F$11)</f>
        <v>28.988299999999999</v>
      </c>
      <c r="J894" s="4">
        <f>28.855 * CHOOSE(CONTROL!$C$15, $D$11, 100%, $F$11)</f>
        <v>28.855</v>
      </c>
      <c r="K894" s="4"/>
      <c r="L894" s="9">
        <v>27.415299999999998</v>
      </c>
      <c r="M894" s="9">
        <v>11.285299999999999</v>
      </c>
      <c r="N894" s="9">
        <v>4.6254999999999997</v>
      </c>
      <c r="O894" s="9">
        <v>0.34989999999999999</v>
      </c>
      <c r="P894" s="9">
        <v>1.2093</v>
      </c>
      <c r="Q894" s="9">
        <v>18.417899999999999</v>
      </c>
      <c r="R894" s="9"/>
      <c r="S894" s="11"/>
    </row>
    <row r="895" spans="1:19" ht="15.75">
      <c r="A895" s="13">
        <v>68758</v>
      </c>
      <c r="B895" s="8">
        <f>29.4295 * CHOOSE(CONTROL!$C$15, $D$11, 100%, $F$11)</f>
        <v>29.429500000000001</v>
      </c>
      <c r="C895" s="8">
        <f>29.4402 * CHOOSE(CONTROL!$C$15, $D$11, 100%, $F$11)</f>
        <v>29.440200000000001</v>
      </c>
      <c r="D895" s="8">
        <f>29.4212 * CHOOSE( CONTROL!$C$15, $D$11, 100%, $F$11)</f>
        <v>29.421199999999999</v>
      </c>
      <c r="E895" s="12">
        <f>29.427 * CHOOSE( CONTROL!$C$15, $D$11, 100%, $F$11)</f>
        <v>29.427</v>
      </c>
      <c r="F895" s="4">
        <f>30.0906 * CHOOSE(CONTROL!$C$15, $D$11, 100%, $F$11)</f>
        <v>30.090599999999998</v>
      </c>
      <c r="G895" s="8">
        <f>28.765 * CHOOSE( CONTROL!$C$15, $D$11, 100%, $F$11)</f>
        <v>28.765000000000001</v>
      </c>
      <c r="H895" s="4">
        <f>29.6536 * CHOOSE(CONTROL!$C$15, $D$11, 100%, $F$11)</f>
        <v>29.653600000000001</v>
      </c>
      <c r="I895" s="8">
        <f>28.3722 * CHOOSE(CONTROL!$C$15, $D$11, 100%, $F$11)</f>
        <v>28.372199999999999</v>
      </c>
      <c r="J895" s="4">
        <f>28.2408 * CHOOSE(CONTROL!$C$15, $D$11, 100%, $F$11)</f>
        <v>28.2408</v>
      </c>
      <c r="K895" s="4"/>
      <c r="L895" s="9">
        <v>29.306000000000001</v>
      </c>
      <c r="M895" s="9">
        <v>12.063700000000001</v>
      </c>
      <c r="N895" s="9">
        <v>4.9444999999999997</v>
      </c>
      <c r="O895" s="9">
        <v>0.37409999999999999</v>
      </c>
      <c r="P895" s="9">
        <v>1.2927</v>
      </c>
      <c r="Q895" s="9">
        <v>19.688099999999999</v>
      </c>
      <c r="R895" s="9"/>
      <c r="S895" s="11"/>
    </row>
    <row r="896" spans="1:19" ht="15.75">
      <c r="A896" s="13">
        <v>68788</v>
      </c>
      <c r="B896" s="8">
        <f>29.8765 * CHOOSE(CONTROL!$C$15, $D$11, 100%, $F$11)</f>
        <v>29.8765</v>
      </c>
      <c r="C896" s="8">
        <f>29.8873 * CHOOSE(CONTROL!$C$15, $D$11, 100%, $F$11)</f>
        <v>29.8873</v>
      </c>
      <c r="D896" s="8">
        <f>29.922 * CHOOSE( CONTROL!$C$15, $D$11, 100%, $F$11)</f>
        <v>29.922000000000001</v>
      </c>
      <c r="E896" s="12">
        <f>29.9093 * CHOOSE( CONTROL!$C$15, $D$11, 100%, $F$11)</f>
        <v>29.909300000000002</v>
      </c>
      <c r="F896" s="4">
        <f>30.6053 * CHOOSE(CONTROL!$C$15, $D$11, 100%, $F$11)</f>
        <v>30.6053</v>
      </c>
      <c r="G896" s="8">
        <f>29.2048 * CHOOSE( CONTROL!$C$15, $D$11, 100%, $F$11)</f>
        <v>29.204799999999999</v>
      </c>
      <c r="H896" s="4">
        <f>30.1569 * CHOOSE(CONTROL!$C$15, $D$11, 100%, $F$11)</f>
        <v>30.1569</v>
      </c>
      <c r="I896" s="8">
        <f>28.7969 * CHOOSE(CONTROL!$C$15, $D$11, 100%, $F$11)</f>
        <v>28.796900000000001</v>
      </c>
      <c r="J896" s="4">
        <f>28.67 * CHOOSE(CONTROL!$C$15, $D$11, 100%, $F$11)</f>
        <v>28.67</v>
      </c>
      <c r="K896" s="4"/>
      <c r="L896" s="9">
        <v>30.092199999999998</v>
      </c>
      <c r="M896" s="9">
        <v>11.6745</v>
      </c>
      <c r="N896" s="9">
        <v>4.7850000000000001</v>
      </c>
      <c r="O896" s="9">
        <v>0.36199999999999999</v>
      </c>
      <c r="P896" s="9">
        <v>1.1791</v>
      </c>
      <c r="Q896" s="9">
        <v>19.053000000000001</v>
      </c>
      <c r="R896" s="9"/>
      <c r="S896" s="11"/>
    </row>
    <row r="897" spans="1:19" ht="15.75">
      <c r="A897" s="13">
        <v>68819</v>
      </c>
      <c r="B897" s="8">
        <f>CHOOSE( CONTROL!$C$32, 30.6744, 30.6721) * CHOOSE(CONTROL!$C$15, $D$11, 100%, $F$11)</f>
        <v>30.674399999999999</v>
      </c>
      <c r="C897" s="8">
        <f>CHOOSE( CONTROL!$C$32, 30.6849, 30.6826) * CHOOSE(CONTROL!$C$15, $D$11, 100%, $F$11)</f>
        <v>30.684899999999999</v>
      </c>
      <c r="D897" s="8">
        <f>CHOOSE( CONTROL!$C$32, 30.7188, 30.7165) * CHOOSE( CONTROL!$C$15, $D$11, 100%, $F$11)</f>
        <v>30.718800000000002</v>
      </c>
      <c r="E897" s="12">
        <f>CHOOSE( CONTROL!$C$32, 30.7049, 30.7026) * CHOOSE( CONTROL!$C$15, $D$11, 100%, $F$11)</f>
        <v>30.704899999999999</v>
      </c>
      <c r="F897" s="4">
        <f>CHOOSE( CONTROL!$C$32, 31.4033, 31.401) * CHOOSE(CONTROL!$C$15, $D$11, 100%, $F$11)</f>
        <v>31.403300000000002</v>
      </c>
      <c r="G897" s="8">
        <f>CHOOSE( CONTROL!$C$32, 29.9855, 29.9833) * CHOOSE( CONTROL!$C$15, $D$11, 100%, $F$11)</f>
        <v>29.985499999999998</v>
      </c>
      <c r="H897" s="4">
        <f>CHOOSE( CONTROL!$C$32, 30.9371, 30.9349) * CHOOSE(CONTROL!$C$15, $D$11, 100%, $F$11)</f>
        <v>30.937100000000001</v>
      </c>
      <c r="I897" s="8">
        <f>CHOOSE( CONTROL!$C$32, 29.5635, 29.5613) * CHOOSE(CONTROL!$C$15, $D$11, 100%, $F$11)</f>
        <v>29.563500000000001</v>
      </c>
      <c r="J897" s="4">
        <f>CHOOSE( CONTROL!$C$32, 29.4361, 29.4339) * CHOOSE(CONTROL!$C$15, $D$11, 100%, $F$11)</f>
        <v>29.4361</v>
      </c>
      <c r="K897" s="4"/>
      <c r="L897" s="9">
        <v>30.7165</v>
      </c>
      <c r="M897" s="9">
        <v>12.063700000000001</v>
      </c>
      <c r="N897" s="9">
        <v>4.9444999999999997</v>
      </c>
      <c r="O897" s="9">
        <v>0.37409999999999999</v>
      </c>
      <c r="P897" s="9">
        <v>1.2183999999999999</v>
      </c>
      <c r="Q897" s="9">
        <v>19.688099999999999</v>
      </c>
      <c r="R897" s="9"/>
      <c r="S897" s="11"/>
    </row>
    <row r="898" spans="1:19" ht="15.75">
      <c r="A898" s="13">
        <v>68849</v>
      </c>
      <c r="B898" s="8">
        <f>CHOOSE( CONTROL!$C$32, 30.1815, 30.1792) * CHOOSE(CONTROL!$C$15, $D$11, 100%, $F$11)</f>
        <v>30.1815</v>
      </c>
      <c r="C898" s="8">
        <f>CHOOSE( CONTROL!$C$32, 30.192, 30.1897) * CHOOSE(CONTROL!$C$15, $D$11, 100%, $F$11)</f>
        <v>30.192</v>
      </c>
      <c r="D898" s="8">
        <f>CHOOSE( CONTROL!$C$32, 30.226, 30.2237) * CHOOSE( CONTROL!$C$15, $D$11, 100%, $F$11)</f>
        <v>30.225999999999999</v>
      </c>
      <c r="E898" s="12">
        <f>CHOOSE( CONTROL!$C$32, 30.2121, 30.2098) * CHOOSE( CONTROL!$C$15, $D$11, 100%, $F$11)</f>
        <v>30.2121</v>
      </c>
      <c r="F898" s="4">
        <f>CHOOSE( CONTROL!$C$32, 30.9104, 30.9081) * CHOOSE(CONTROL!$C$15, $D$11, 100%, $F$11)</f>
        <v>30.910399999999999</v>
      </c>
      <c r="G898" s="8">
        <f>CHOOSE( CONTROL!$C$32, 29.5039, 29.5016) * CHOOSE( CONTROL!$C$15, $D$11, 100%, $F$11)</f>
        <v>29.503900000000002</v>
      </c>
      <c r="H898" s="4">
        <f>CHOOSE( CONTROL!$C$32, 30.4552, 30.453) * CHOOSE(CONTROL!$C$15, $D$11, 100%, $F$11)</f>
        <v>30.455200000000001</v>
      </c>
      <c r="I898" s="8">
        <f>CHOOSE( CONTROL!$C$32, 29.0908, 29.0886) * CHOOSE(CONTROL!$C$15, $D$11, 100%, $F$11)</f>
        <v>29.090800000000002</v>
      </c>
      <c r="J898" s="4">
        <f>CHOOSE( CONTROL!$C$32, 28.9629, 28.9607) * CHOOSE(CONTROL!$C$15, $D$11, 100%, $F$11)</f>
        <v>28.962900000000001</v>
      </c>
      <c r="K898" s="4"/>
      <c r="L898" s="9">
        <v>29.7257</v>
      </c>
      <c r="M898" s="9">
        <v>11.6745</v>
      </c>
      <c r="N898" s="9">
        <v>4.7850000000000001</v>
      </c>
      <c r="O898" s="9">
        <v>0.36199999999999999</v>
      </c>
      <c r="P898" s="9">
        <v>1.1791</v>
      </c>
      <c r="Q898" s="9">
        <v>19.053000000000001</v>
      </c>
      <c r="R898" s="9"/>
      <c r="S898" s="11"/>
    </row>
    <row r="899" spans="1:19" ht="15.75">
      <c r="A899" s="13">
        <v>68880</v>
      </c>
      <c r="B899" s="8">
        <f>CHOOSE( CONTROL!$C$32, 31.4794, 31.4771) * CHOOSE(CONTROL!$C$15, $D$11, 100%, $F$11)</f>
        <v>31.479399999999998</v>
      </c>
      <c r="C899" s="8">
        <f>CHOOSE( CONTROL!$C$32, 31.49, 31.4877) * CHOOSE(CONTROL!$C$15, $D$11, 100%, $F$11)</f>
        <v>31.49</v>
      </c>
      <c r="D899" s="8">
        <f>CHOOSE( CONTROL!$C$32, 31.5242, 31.5219) * CHOOSE( CONTROL!$C$15, $D$11, 100%, $F$11)</f>
        <v>31.5242</v>
      </c>
      <c r="E899" s="12">
        <f>CHOOSE( CONTROL!$C$32, 31.5102, 31.5079) * CHOOSE( CONTROL!$C$15, $D$11, 100%, $F$11)</f>
        <v>31.510200000000001</v>
      </c>
      <c r="F899" s="4">
        <f>CHOOSE( CONTROL!$C$32, 32.2084, 32.2061) * CHOOSE(CONTROL!$C$15, $D$11, 100%, $F$11)</f>
        <v>32.208399999999997</v>
      </c>
      <c r="G899" s="8">
        <f>CHOOSE( CONTROL!$C$32, 30.7732, 30.771) * CHOOSE( CONTROL!$C$15, $D$11, 100%, $F$11)</f>
        <v>30.773199999999999</v>
      </c>
      <c r="H899" s="4">
        <f>CHOOSE( CONTROL!$C$32, 31.7242, 31.722) * CHOOSE(CONTROL!$C$15, $D$11, 100%, $F$11)</f>
        <v>31.7242</v>
      </c>
      <c r="I899" s="8">
        <f>CHOOSE( CONTROL!$C$32, 30.3386, 30.3364) * CHOOSE(CONTROL!$C$15, $D$11, 100%, $F$11)</f>
        <v>30.3386</v>
      </c>
      <c r="J899" s="4">
        <f>CHOOSE( CONTROL!$C$32, 30.2091, 30.2069) * CHOOSE(CONTROL!$C$15, $D$11, 100%, $F$11)</f>
        <v>30.209099999999999</v>
      </c>
      <c r="K899" s="4"/>
      <c r="L899" s="9">
        <v>30.7165</v>
      </c>
      <c r="M899" s="9">
        <v>12.063700000000001</v>
      </c>
      <c r="N899" s="9">
        <v>4.9444999999999997</v>
      </c>
      <c r="O899" s="9">
        <v>0.37409999999999999</v>
      </c>
      <c r="P899" s="9">
        <v>1.2183999999999999</v>
      </c>
      <c r="Q899" s="9">
        <v>19.688099999999999</v>
      </c>
      <c r="R899" s="9"/>
      <c r="S899" s="11"/>
    </row>
    <row r="900" spans="1:19" ht="15.75">
      <c r="A900" s="13">
        <v>68911</v>
      </c>
      <c r="B900" s="8">
        <f>CHOOSE( CONTROL!$C$32, 29.0508, 29.0485) * CHOOSE(CONTROL!$C$15, $D$11, 100%, $F$11)</f>
        <v>29.050799999999999</v>
      </c>
      <c r="C900" s="8">
        <f>CHOOSE( CONTROL!$C$32, 29.0614, 29.0591) * CHOOSE(CONTROL!$C$15, $D$11, 100%, $F$11)</f>
        <v>29.061399999999999</v>
      </c>
      <c r="D900" s="8">
        <f>CHOOSE( CONTROL!$C$32, 29.0956, 29.0933) * CHOOSE( CONTROL!$C$15, $D$11, 100%, $F$11)</f>
        <v>29.095600000000001</v>
      </c>
      <c r="E900" s="12">
        <f>CHOOSE( CONTROL!$C$32, 29.0816, 29.0793) * CHOOSE( CONTROL!$C$15, $D$11, 100%, $F$11)</f>
        <v>29.081600000000002</v>
      </c>
      <c r="F900" s="4">
        <f>CHOOSE( CONTROL!$C$32, 29.7797, 29.7774) * CHOOSE(CONTROL!$C$15, $D$11, 100%, $F$11)</f>
        <v>29.779699999999998</v>
      </c>
      <c r="G900" s="8">
        <f>CHOOSE( CONTROL!$C$32, 28.3988, 28.3966) * CHOOSE( CONTROL!$C$15, $D$11, 100%, $F$11)</f>
        <v>28.398800000000001</v>
      </c>
      <c r="H900" s="4">
        <f>CHOOSE( CONTROL!$C$32, 29.3497, 29.3475) * CHOOSE(CONTROL!$C$15, $D$11, 100%, $F$11)</f>
        <v>29.349699999999999</v>
      </c>
      <c r="I900" s="8">
        <f>CHOOSE( CONTROL!$C$32, 28.006, 28.0038) * CHOOSE(CONTROL!$C$15, $D$11, 100%, $F$11)</f>
        <v>28.006</v>
      </c>
      <c r="J900" s="4">
        <f>CHOOSE( CONTROL!$C$32, 27.8773, 27.8751) * CHOOSE(CONTROL!$C$15, $D$11, 100%, $F$11)</f>
        <v>27.877300000000002</v>
      </c>
      <c r="K900" s="4"/>
      <c r="L900" s="9">
        <v>30.7165</v>
      </c>
      <c r="M900" s="9">
        <v>12.063700000000001</v>
      </c>
      <c r="N900" s="9">
        <v>4.9444999999999997</v>
      </c>
      <c r="O900" s="9">
        <v>0.37409999999999999</v>
      </c>
      <c r="P900" s="9">
        <v>1.2183999999999999</v>
      </c>
      <c r="Q900" s="9">
        <v>19.688099999999999</v>
      </c>
      <c r="R900" s="9"/>
      <c r="S900" s="11"/>
    </row>
    <row r="901" spans="1:19" ht="15.75">
      <c r="A901" s="13">
        <v>68941</v>
      </c>
      <c r="B901" s="8">
        <f>CHOOSE( CONTROL!$C$32, 28.4426, 28.4403) * CHOOSE(CONTROL!$C$15, $D$11, 100%, $F$11)</f>
        <v>28.442599999999999</v>
      </c>
      <c r="C901" s="8">
        <f>CHOOSE( CONTROL!$C$32, 28.4532, 28.4509) * CHOOSE(CONTROL!$C$15, $D$11, 100%, $F$11)</f>
        <v>28.453199999999999</v>
      </c>
      <c r="D901" s="8">
        <f>CHOOSE( CONTROL!$C$32, 28.4874, 28.4851) * CHOOSE( CONTROL!$C$15, $D$11, 100%, $F$11)</f>
        <v>28.487400000000001</v>
      </c>
      <c r="E901" s="12">
        <f>CHOOSE( CONTROL!$C$32, 28.4734, 28.4711) * CHOOSE( CONTROL!$C$15, $D$11, 100%, $F$11)</f>
        <v>28.473400000000002</v>
      </c>
      <c r="F901" s="4">
        <f>CHOOSE( CONTROL!$C$32, 29.1716, 29.1693) * CHOOSE(CONTROL!$C$15, $D$11, 100%, $F$11)</f>
        <v>29.171600000000002</v>
      </c>
      <c r="G901" s="8">
        <f>CHOOSE( CONTROL!$C$32, 27.8042, 27.8019) * CHOOSE( CONTROL!$C$15, $D$11, 100%, $F$11)</f>
        <v>27.804200000000002</v>
      </c>
      <c r="H901" s="4">
        <f>CHOOSE( CONTROL!$C$32, 28.7551, 28.7529) * CHOOSE(CONTROL!$C$15, $D$11, 100%, $F$11)</f>
        <v>28.755099999999999</v>
      </c>
      <c r="I901" s="8">
        <f>CHOOSE( CONTROL!$C$32, 27.4217, 27.4194) * CHOOSE(CONTROL!$C$15, $D$11, 100%, $F$11)</f>
        <v>27.421700000000001</v>
      </c>
      <c r="J901" s="4">
        <f>CHOOSE( CONTROL!$C$32, 27.2934, 27.2912) * CHOOSE(CONTROL!$C$15, $D$11, 100%, $F$11)</f>
        <v>27.293399999999998</v>
      </c>
      <c r="K901" s="4"/>
      <c r="L901" s="9">
        <v>29.7257</v>
      </c>
      <c r="M901" s="9">
        <v>11.6745</v>
      </c>
      <c r="N901" s="9">
        <v>4.7850000000000001</v>
      </c>
      <c r="O901" s="9">
        <v>0.36199999999999999</v>
      </c>
      <c r="P901" s="9">
        <v>1.1791</v>
      </c>
      <c r="Q901" s="9">
        <v>19.053000000000001</v>
      </c>
      <c r="R901" s="9"/>
      <c r="S901" s="11"/>
    </row>
    <row r="902" spans="1:19" ht="15.75">
      <c r="A902" s="13">
        <v>68972</v>
      </c>
      <c r="B902" s="8">
        <f>29.7032 * CHOOSE(CONTROL!$C$15, $D$11, 100%, $F$11)</f>
        <v>29.703199999999999</v>
      </c>
      <c r="C902" s="8">
        <f>29.7139 * CHOOSE(CONTROL!$C$15, $D$11, 100%, $F$11)</f>
        <v>29.713899999999999</v>
      </c>
      <c r="D902" s="8">
        <f>29.7494 * CHOOSE( CONTROL!$C$15, $D$11, 100%, $F$11)</f>
        <v>29.749400000000001</v>
      </c>
      <c r="E902" s="12">
        <f>29.7365 * CHOOSE( CONTROL!$C$15, $D$11, 100%, $F$11)</f>
        <v>29.736499999999999</v>
      </c>
      <c r="F902" s="4">
        <f>30.432 * CHOOSE(CONTROL!$C$15, $D$11, 100%, $F$11)</f>
        <v>30.431999999999999</v>
      </c>
      <c r="G902" s="8">
        <f>29.0363 * CHOOSE( CONTROL!$C$15, $D$11, 100%, $F$11)</f>
        <v>29.036300000000001</v>
      </c>
      <c r="H902" s="4">
        <f>29.9875 * CHOOSE(CONTROL!$C$15, $D$11, 100%, $F$11)</f>
        <v>29.987500000000001</v>
      </c>
      <c r="I902" s="8">
        <f>28.6333 * CHOOSE(CONTROL!$C$15, $D$11, 100%, $F$11)</f>
        <v>28.633299999999998</v>
      </c>
      <c r="J902" s="4">
        <f>28.5036 * CHOOSE(CONTROL!$C$15, $D$11, 100%, $F$11)</f>
        <v>28.503599999999999</v>
      </c>
      <c r="K902" s="4"/>
      <c r="L902" s="9">
        <v>31.095300000000002</v>
      </c>
      <c r="M902" s="9">
        <v>12.063700000000001</v>
      </c>
      <c r="N902" s="9">
        <v>4.9444999999999997</v>
      </c>
      <c r="O902" s="9">
        <v>0.37409999999999999</v>
      </c>
      <c r="P902" s="9">
        <v>1.2183999999999999</v>
      </c>
      <c r="Q902" s="9">
        <v>19.688099999999999</v>
      </c>
      <c r="R902" s="9"/>
      <c r="S902" s="11"/>
    </row>
    <row r="903" spans="1:19" ht="15.75">
      <c r="A903" s="13">
        <v>69002</v>
      </c>
      <c r="B903" s="8">
        <f>32.034 * CHOOSE(CONTROL!$C$15, $D$11, 100%, $F$11)</f>
        <v>32.033999999999999</v>
      </c>
      <c r="C903" s="8">
        <f>32.0448 * CHOOSE(CONTROL!$C$15, $D$11, 100%, $F$11)</f>
        <v>32.044800000000002</v>
      </c>
      <c r="D903" s="8">
        <f>32.0208 * CHOOSE( CONTROL!$C$15, $D$11, 100%, $F$11)</f>
        <v>32.020800000000001</v>
      </c>
      <c r="E903" s="12">
        <f>32.0284 * CHOOSE( CONTROL!$C$15, $D$11, 100%, $F$11)</f>
        <v>32.028399999999998</v>
      </c>
      <c r="F903" s="4">
        <f>32.6951 * CHOOSE(CONTROL!$C$15, $D$11, 100%, $F$11)</f>
        <v>32.695099999999996</v>
      </c>
      <c r="G903" s="8">
        <f>31.3151 * CHOOSE( CONTROL!$C$15, $D$11, 100%, $F$11)</f>
        <v>31.315100000000001</v>
      </c>
      <c r="H903" s="4">
        <f>32.2001 * CHOOSE(CONTROL!$C$15, $D$11, 100%, $F$11)</f>
        <v>32.200099999999999</v>
      </c>
      <c r="I903" s="8">
        <f>30.9156 * CHOOSE(CONTROL!$C$15, $D$11, 100%, $F$11)</f>
        <v>30.915600000000001</v>
      </c>
      <c r="J903" s="4">
        <f>30.7414 * CHOOSE(CONTROL!$C$15, $D$11, 100%, $F$11)</f>
        <v>30.741399999999999</v>
      </c>
      <c r="K903" s="4"/>
      <c r="L903" s="9">
        <v>28.360600000000002</v>
      </c>
      <c r="M903" s="9">
        <v>11.6745</v>
      </c>
      <c r="N903" s="9">
        <v>4.7850000000000001</v>
      </c>
      <c r="O903" s="9">
        <v>0.36199999999999999</v>
      </c>
      <c r="P903" s="9">
        <v>1.2509999999999999</v>
      </c>
      <c r="Q903" s="9">
        <v>19.053000000000001</v>
      </c>
      <c r="R903" s="9"/>
      <c r="S903" s="11"/>
    </row>
    <row r="904" spans="1:19" ht="15.75">
      <c r="A904" s="13">
        <v>69033</v>
      </c>
      <c r="B904" s="8">
        <f>31.9758 * CHOOSE(CONTROL!$C$15, $D$11, 100%, $F$11)</f>
        <v>31.9758</v>
      </c>
      <c r="C904" s="8">
        <f>31.9865 * CHOOSE(CONTROL!$C$15, $D$11, 100%, $F$11)</f>
        <v>31.986499999999999</v>
      </c>
      <c r="D904" s="8">
        <f>31.9643 * CHOOSE( CONTROL!$C$15, $D$11, 100%, $F$11)</f>
        <v>31.964300000000001</v>
      </c>
      <c r="E904" s="12">
        <f>31.9713 * CHOOSE( CONTROL!$C$15, $D$11, 100%, $F$11)</f>
        <v>31.971299999999999</v>
      </c>
      <c r="F904" s="4">
        <f>32.6369 * CHOOSE(CONTROL!$C$15, $D$11, 100%, $F$11)</f>
        <v>32.636899999999997</v>
      </c>
      <c r="G904" s="8">
        <f>31.2594 * CHOOSE( CONTROL!$C$15, $D$11, 100%, $F$11)</f>
        <v>31.259399999999999</v>
      </c>
      <c r="H904" s="4">
        <f>32.1432 * CHOOSE(CONTROL!$C$15, $D$11, 100%, $F$11)</f>
        <v>32.1432</v>
      </c>
      <c r="I904" s="8">
        <f>30.8648 * CHOOSE(CONTROL!$C$15, $D$11, 100%, $F$11)</f>
        <v>30.864799999999999</v>
      </c>
      <c r="J904" s="4">
        <f>30.6855 * CHOOSE(CONTROL!$C$15, $D$11, 100%, $F$11)</f>
        <v>30.685500000000001</v>
      </c>
      <c r="K904" s="4"/>
      <c r="L904" s="9">
        <v>29.306000000000001</v>
      </c>
      <c r="M904" s="9">
        <v>12.063700000000001</v>
      </c>
      <c r="N904" s="9">
        <v>4.9444999999999997</v>
      </c>
      <c r="O904" s="9">
        <v>0.37409999999999999</v>
      </c>
      <c r="P904" s="9">
        <v>1.2927</v>
      </c>
      <c r="Q904" s="9">
        <v>19.688099999999999</v>
      </c>
      <c r="R904" s="9"/>
      <c r="S904" s="11"/>
    </row>
    <row r="905" spans="1:19" ht="15.75">
      <c r="A905" s="13">
        <v>69064</v>
      </c>
      <c r="B905" s="8">
        <f>32.9185 * CHOOSE(CONTROL!$C$15, $D$11, 100%, $F$11)</f>
        <v>32.918500000000002</v>
      </c>
      <c r="C905" s="8">
        <f>32.9293 * CHOOSE(CONTROL!$C$15, $D$11, 100%, $F$11)</f>
        <v>32.929299999999998</v>
      </c>
      <c r="D905" s="8">
        <f>32.9109 * CHOOSE( CONTROL!$C$15, $D$11, 100%, $F$11)</f>
        <v>32.910899999999998</v>
      </c>
      <c r="E905" s="12">
        <f>32.9165 * CHOOSE( CONTROL!$C$15, $D$11, 100%, $F$11)</f>
        <v>32.916499999999999</v>
      </c>
      <c r="F905" s="4">
        <f>33.5796 * CHOOSE(CONTROL!$C$15, $D$11, 100%, $F$11)</f>
        <v>33.579599999999999</v>
      </c>
      <c r="G905" s="8">
        <f>32.1767 * CHOOSE( CONTROL!$C$15, $D$11, 100%, $F$11)</f>
        <v>32.176699999999997</v>
      </c>
      <c r="H905" s="4">
        <f>33.0649 * CHOOSE(CONTROL!$C$15, $D$11, 100%, $F$11)</f>
        <v>33.064900000000002</v>
      </c>
      <c r="I905" s="8">
        <f>31.7258 * CHOOSE(CONTROL!$C$15, $D$11, 100%, $F$11)</f>
        <v>31.7258</v>
      </c>
      <c r="J905" s="4">
        <f>31.5906 * CHOOSE(CONTROL!$C$15, $D$11, 100%, $F$11)</f>
        <v>31.590599999999998</v>
      </c>
      <c r="K905" s="4"/>
      <c r="L905" s="9">
        <v>29.306000000000001</v>
      </c>
      <c r="M905" s="9">
        <v>12.063700000000001</v>
      </c>
      <c r="N905" s="9">
        <v>4.9444999999999997</v>
      </c>
      <c r="O905" s="9">
        <v>0.37409999999999999</v>
      </c>
      <c r="P905" s="9">
        <v>1.2927</v>
      </c>
      <c r="Q905" s="9">
        <v>19.688099999999999</v>
      </c>
      <c r="R905" s="9"/>
      <c r="S905" s="11"/>
    </row>
    <row r="906" spans="1:19" ht="15.75">
      <c r="A906" s="13">
        <v>69092</v>
      </c>
      <c r="B906" s="8">
        <f>30.7914 * CHOOSE(CONTROL!$C$15, $D$11, 100%, $F$11)</f>
        <v>30.791399999999999</v>
      </c>
      <c r="C906" s="8">
        <f>30.8021 * CHOOSE(CONTROL!$C$15, $D$11, 100%, $F$11)</f>
        <v>30.802099999999999</v>
      </c>
      <c r="D906" s="8">
        <f>30.7836 * CHOOSE( CONTROL!$C$15, $D$11, 100%, $F$11)</f>
        <v>30.7836</v>
      </c>
      <c r="E906" s="12">
        <f>30.7892 * CHOOSE( CONTROL!$C$15, $D$11, 100%, $F$11)</f>
        <v>30.789200000000001</v>
      </c>
      <c r="F906" s="4">
        <f>31.4525 * CHOOSE(CONTROL!$C$15, $D$11, 100%, $F$11)</f>
        <v>31.452500000000001</v>
      </c>
      <c r="G906" s="8">
        <f>30.0969 * CHOOSE( CONTROL!$C$15, $D$11, 100%, $F$11)</f>
        <v>30.096900000000002</v>
      </c>
      <c r="H906" s="4">
        <f>30.9852 * CHOOSE(CONTROL!$C$15, $D$11, 100%, $F$11)</f>
        <v>30.985199999999999</v>
      </c>
      <c r="I906" s="8">
        <f>29.682 * CHOOSE(CONTROL!$C$15, $D$11, 100%, $F$11)</f>
        <v>29.681999999999999</v>
      </c>
      <c r="J906" s="4">
        <f>29.5483 * CHOOSE(CONTROL!$C$15, $D$11, 100%, $F$11)</f>
        <v>29.548300000000001</v>
      </c>
      <c r="K906" s="4"/>
      <c r="L906" s="9">
        <v>26.469899999999999</v>
      </c>
      <c r="M906" s="9">
        <v>10.8962</v>
      </c>
      <c r="N906" s="9">
        <v>4.4660000000000002</v>
      </c>
      <c r="O906" s="9">
        <v>0.33789999999999998</v>
      </c>
      <c r="P906" s="9">
        <v>1.1676</v>
      </c>
      <c r="Q906" s="9">
        <v>17.782800000000002</v>
      </c>
      <c r="R906" s="9"/>
      <c r="S906" s="11"/>
    </row>
    <row r="907" spans="1:19" ht="15.75">
      <c r="A907" s="13">
        <v>69123</v>
      </c>
      <c r="B907" s="8">
        <f>30.1362 * CHOOSE(CONTROL!$C$15, $D$11, 100%, $F$11)</f>
        <v>30.136199999999999</v>
      </c>
      <c r="C907" s="8">
        <f>30.147 * CHOOSE(CONTROL!$C$15, $D$11, 100%, $F$11)</f>
        <v>30.146999999999998</v>
      </c>
      <c r="D907" s="8">
        <f>30.1279 * CHOOSE( CONTROL!$C$15, $D$11, 100%, $F$11)</f>
        <v>30.1279</v>
      </c>
      <c r="E907" s="12">
        <f>30.1337 * CHOOSE( CONTROL!$C$15, $D$11, 100%, $F$11)</f>
        <v>30.133700000000001</v>
      </c>
      <c r="F907" s="4">
        <f>30.7973 * CHOOSE(CONTROL!$C$15, $D$11, 100%, $F$11)</f>
        <v>30.7973</v>
      </c>
      <c r="G907" s="8">
        <f>29.456 * CHOOSE( CONTROL!$C$15, $D$11, 100%, $F$11)</f>
        <v>29.456</v>
      </c>
      <c r="H907" s="4">
        <f>30.3446 * CHOOSE(CONTROL!$C$15, $D$11, 100%, $F$11)</f>
        <v>30.3446</v>
      </c>
      <c r="I907" s="8">
        <f>29.0511 * CHOOSE(CONTROL!$C$15, $D$11, 100%, $F$11)</f>
        <v>29.051100000000002</v>
      </c>
      <c r="J907" s="4">
        <f>28.9193 * CHOOSE(CONTROL!$C$15, $D$11, 100%, $F$11)</f>
        <v>28.9193</v>
      </c>
      <c r="K907" s="4"/>
      <c r="L907" s="9">
        <v>29.306000000000001</v>
      </c>
      <c r="M907" s="9">
        <v>12.063700000000001</v>
      </c>
      <c r="N907" s="9">
        <v>4.9444999999999997</v>
      </c>
      <c r="O907" s="9">
        <v>0.37409999999999999</v>
      </c>
      <c r="P907" s="9">
        <v>1.2927</v>
      </c>
      <c r="Q907" s="9">
        <v>19.688099999999999</v>
      </c>
      <c r="R907" s="9"/>
      <c r="S907" s="11"/>
    </row>
    <row r="908" spans="1:19" ht="15.75">
      <c r="A908" s="13">
        <v>69153</v>
      </c>
      <c r="B908" s="8">
        <f>30.594 * CHOOSE(CONTROL!$C$15, $D$11, 100%, $F$11)</f>
        <v>30.594000000000001</v>
      </c>
      <c r="C908" s="8">
        <f>30.6048 * CHOOSE(CONTROL!$C$15, $D$11, 100%, $F$11)</f>
        <v>30.604800000000001</v>
      </c>
      <c r="D908" s="8">
        <f>30.6395 * CHOOSE( CONTROL!$C$15, $D$11, 100%, $F$11)</f>
        <v>30.639500000000002</v>
      </c>
      <c r="E908" s="12">
        <f>30.6268 * CHOOSE( CONTROL!$C$15, $D$11, 100%, $F$11)</f>
        <v>30.626799999999999</v>
      </c>
      <c r="F908" s="4">
        <f>31.3228 * CHOOSE(CONTROL!$C$15, $D$11, 100%, $F$11)</f>
        <v>31.322800000000001</v>
      </c>
      <c r="G908" s="8">
        <f>29.9063 * CHOOSE( CONTROL!$C$15, $D$11, 100%, $F$11)</f>
        <v>29.906300000000002</v>
      </c>
      <c r="H908" s="4">
        <f>30.8584 * CHOOSE(CONTROL!$C$15, $D$11, 100%, $F$11)</f>
        <v>30.8584</v>
      </c>
      <c r="I908" s="8">
        <f>29.4861 * CHOOSE(CONTROL!$C$15, $D$11, 100%, $F$11)</f>
        <v>29.4861</v>
      </c>
      <c r="J908" s="4">
        <f>29.3589 * CHOOSE(CONTROL!$C$15, $D$11, 100%, $F$11)</f>
        <v>29.358899999999998</v>
      </c>
      <c r="K908" s="4"/>
      <c r="L908" s="9">
        <v>30.092199999999998</v>
      </c>
      <c r="M908" s="9">
        <v>11.6745</v>
      </c>
      <c r="N908" s="9">
        <v>4.7850000000000001</v>
      </c>
      <c r="O908" s="9">
        <v>0.36199999999999999</v>
      </c>
      <c r="P908" s="9">
        <v>1.1791</v>
      </c>
      <c r="Q908" s="9">
        <v>19.053000000000001</v>
      </c>
      <c r="R908" s="9"/>
      <c r="S908" s="11"/>
    </row>
    <row r="909" spans="1:19" ht="15.75">
      <c r="A909" s="13">
        <v>69184</v>
      </c>
      <c r="B909" s="8">
        <f>CHOOSE( CONTROL!$C$32, 31.411, 31.4087) * CHOOSE(CONTROL!$C$15, $D$11, 100%, $F$11)</f>
        <v>31.411000000000001</v>
      </c>
      <c r="C909" s="8">
        <f>CHOOSE( CONTROL!$C$32, 31.4215, 31.4192) * CHOOSE(CONTROL!$C$15, $D$11, 100%, $F$11)</f>
        <v>31.421500000000002</v>
      </c>
      <c r="D909" s="8">
        <f>CHOOSE( CONTROL!$C$32, 31.4554, 31.4531) * CHOOSE( CONTROL!$C$15, $D$11, 100%, $F$11)</f>
        <v>31.455400000000001</v>
      </c>
      <c r="E909" s="12">
        <f>CHOOSE( CONTROL!$C$32, 31.4415, 31.4392) * CHOOSE( CONTROL!$C$15, $D$11, 100%, $F$11)</f>
        <v>31.441500000000001</v>
      </c>
      <c r="F909" s="4">
        <f>CHOOSE( CONTROL!$C$32, 32.1399, 32.1376) * CHOOSE(CONTROL!$C$15, $D$11, 100%, $F$11)</f>
        <v>32.139899999999997</v>
      </c>
      <c r="G909" s="8">
        <f>CHOOSE( CONTROL!$C$32, 30.7057, 30.7035) * CHOOSE( CONTROL!$C$15, $D$11, 100%, $F$11)</f>
        <v>30.7057</v>
      </c>
      <c r="H909" s="4">
        <f>CHOOSE( CONTROL!$C$32, 31.6573, 31.655) * CHOOSE(CONTROL!$C$15, $D$11, 100%, $F$11)</f>
        <v>31.657299999999999</v>
      </c>
      <c r="I909" s="8">
        <f>CHOOSE( CONTROL!$C$32, 30.2711, 30.2689) * CHOOSE(CONTROL!$C$15, $D$11, 100%, $F$11)</f>
        <v>30.271100000000001</v>
      </c>
      <c r="J909" s="4">
        <f>CHOOSE( CONTROL!$C$32, 30.1433, 30.1411) * CHOOSE(CONTROL!$C$15, $D$11, 100%, $F$11)</f>
        <v>30.1433</v>
      </c>
      <c r="K909" s="4"/>
      <c r="L909" s="9">
        <v>30.7165</v>
      </c>
      <c r="M909" s="9">
        <v>12.063700000000001</v>
      </c>
      <c r="N909" s="9">
        <v>4.9444999999999997</v>
      </c>
      <c r="O909" s="9">
        <v>0.37409999999999999</v>
      </c>
      <c r="P909" s="9">
        <v>1.2183999999999999</v>
      </c>
      <c r="Q909" s="9">
        <v>19.688099999999999</v>
      </c>
      <c r="R909" s="9"/>
      <c r="S909" s="11"/>
    </row>
    <row r="910" spans="1:19" ht="15.75">
      <c r="A910" s="13">
        <v>69214</v>
      </c>
      <c r="B910" s="8">
        <f>CHOOSE( CONTROL!$C$32, 30.9062, 30.9039) * CHOOSE(CONTROL!$C$15, $D$11, 100%, $F$11)</f>
        <v>30.906199999999998</v>
      </c>
      <c r="C910" s="8">
        <f>CHOOSE( CONTROL!$C$32, 30.9168, 30.9145) * CHOOSE(CONTROL!$C$15, $D$11, 100%, $F$11)</f>
        <v>30.916799999999999</v>
      </c>
      <c r="D910" s="8">
        <f>CHOOSE( CONTROL!$C$32, 30.9508, 30.9485) * CHOOSE( CONTROL!$C$15, $D$11, 100%, $F$11)</f>
        <v>30.950800000000001</v>
      </c>
      <c r="E910" s="12">
        <f>CHOOSE( CONTROL!$C$32, 30.9369, 30.9346) * CHOOSE( CONTROL!$C$15, $D$11, 100%, $F$11)</f>
        <v>30.936900000000001</v>
      </c>
      <c r="F910" s="4">
        <f>CHOOSE( CONTROL!$C$32, 31.6352, 31.6329) * CHOOSE(CONTROL!$C$15, $D$11, 100%, $F$11)</f>
        <v>31.635200000000001</v>
      </c>
      <c r="G910" s="8">
        <f>CHOOSE( CONTROL!$C$32, 30.2125, 30.2102) * CHOOSE( CONTROL!$C$15, $D$11, 100%, $F$11)</f>
        <v>30.212499999999999</v>
      </c>
      <c r="H910" s="4">
        <f>CHOOSE( CONTROL!$C$32, 31.1638, 31.1616) * CHOOSE(CONTROL!$C$15, $D$11, 100%, $F$11)</f>
        <v>31.163799999999998</v>
      </c>
      <c r="I910" s="8">
        <f>CHOOSE( CONTROL!$C$32, 29.787, 29.7848) * CHOOSE(CONTROL!$C$15, $D$11, 100%, $F$11)</f>
        <v>29.786999999999999</v>
      </c>
      <c r="J910" s="4">
        <f>CHOOSE( CONTROL!$C$32, 29.6587, 29.6565) * CHOOSE(CONTROL!$C$15, $D$11, 100%, $F$11)</f>
        <v>29.6587</v>
      </c>
      <c r="K910" s="4"/>
      <c r="L910" s="9">
        <v>29.7257</v>
      </c>
      <c r="M910" s="9">
        <v>11.6745</v>
      </c>
      <c r="N910" s="9">
        <v>4.7850000000000001</v>
      </c>
      <c r="O910" s="9">
        <v>0.36199999999999999</v>
      </c>
      <c r="P910" s="9">
        <v>1.1791</v>
      </c>
      <c r="Q910" s="9">
        <v>19.053000000000001</v>
      </c>
      <c r="R910" s="9"/>
      <c r="S910" s="11"/>
    </row>
    <row r="911" spans="1:19" ht="15.75">
      <c r="A911" s="13">
        <v>69245</v>
      </c>
      <c r="B911" s="8">
        <f>CHOOSE( CONTROL!$C$32, 32.2354, 32.2331) * CHOOSE(CONTROL!$C$15, $D$11, 100%, $F$11)</f>
        <v>32.235399999999998</v>
      </c>
      <c r="C911" s="8">
        <f>CHOOSE( CONTROL!$C$32, 32.246, 32.2437) * CHOOSE(CONTROL!$C$15, $D$11, 100%, $F$11)</f>
        <v>32.246000000000002</v>
      </c>
      <c r="D911" s="8">
        <f>CHOOSE( CONTROL!$C$32, 32.2802, 32.2779) * CHOOSE( CONTROL!$C$15, $D$11, 100%, $F$11)</f>
        <v>32.280200000000001</v>
      </c>
      <c r="E911" s="12">
        <f>CHOOSE( CONTROL!$C$32, 32.2662, 32.2639) * CHOOSE( CONTROL!$C$15, $D$11, 100%, $F$11)</f>
        <v>32.266199999999998</v>
      </c>
      <c r="F911" s="4">
        <f>CHOOSE( CONTROL!$C$32, 32.9643, 32.962) * CHOOSE(CONTROL!$C$15, $D$11, 100%, $F$11)</f>
        <v>32.964300000000001</v>
      </c>
      <c r="G911" s="8">
        <f>CHOOSE( CONTROL!$C$32, 31.5123, 31.5101) * CHOOSE( CONTROL!$C$15, $D$11, 100%, $F$11)</f>
        <v>31.5123</v>
      </c>
      <c r="H911" s="4">
        <f>CHOOSE( CONTROL!$C$32, 32.4633, 32.4611) * CHOOSE(CONTROL!$C$15, $D$11, 100%, $F$11)</f>
        <v>32.463299999999997</v>
      </c>
      <c r="I911" s="8">
        <f>CHOOSE( CONTROL!$C$32, 31.0648, 31.0626) * CHOOSE(CONTROL!$C$15, $D$11, 100%, $F$11)</f>
        <v>31.064800000000002</v>
      </c>
      <c r="J911" s="4">
        <f>CHOOSE( CONTROL!$C$32, 30.9349, 30.9327) * CHOOSE(CONTROL!$C$15, $D$11, 100%, $F$11)</f>
        <v>30.934899999999999</v>
      </c>
      <c r="K911" s="4"/>
      <c r="L911" s="9">
        <v>30.7165</v>
      </c>
      <c r="M911" s="9">
        <v>12.063700000000001</v>
      </c>
      <c r="N911" s="9">
        <v>4.9444999999999997</v>
      </c>
      <c r="O911" s="9">
        <v>0.37409999999999999</v>
      </c>
      <c r="P911" s="9">
        <v>1.2183999999999999</v>
      </c>
      <c r="Q911" s="9">
        <v>19.688099999999999</v>
      </c>
      <c r="R911" s="9"/>
      <c r="S911" s="11"/>
    </row>
    <row r="912" spans="1:19" ht="15.75">
      <c r="A912" s="13">
        <v>69276</v>
      </c>
      <c r="B912" s="8">
        <f>CHOOSE( CONTROL!$C$32, 29.7484, 29.7461) * CHOOSE(CONTROL!$C$15, $D$11, 100%, $F$11)</f>
        <v>29.7484</v>
      </c>
      <c r="C912" s="8">
        <f>CHOOSE( CONTROL!$C$32, 29.759, 29.7567) * CHOOSE(CONTROL!$C$15, $D$11, 100%, $F$11)</f>
        <v>29.759</v>
      </c>
      <c r="D912" s="8">
        <f>CHOOSE( CONTROL!$C$32, 29.7932, 29.7909) * CHOOSE( CONTROL!$C$15, $D$11, 100%, $F$11)</f>
        <v>29.793199999999999</v>
      </c>
      <c r="E912" s="12">
        <f>CHOOSE( CONTROL!$C$32, 29.7792, 29.7769) * CHOOSE( CONTROL!$C$15, $D$11, 100%, $F$11)</f>
        <v>29.779199999999999</v>
      </c>
      <c r="F912" s="4">
        <f>CHOOSE( CONTROL!$C$32, 30.4773, 30.475) * CHOOSE(CONTROL!$C$15, $D$11, 100%, $F$11)</f>
        <v>30.4773</v>
      </c>
      <c r="G912" s="8">
        <f>CHOOSE( CONTROL!$C$32, 29.0809, 29.0786) * CHOOSE( CONTROL!$C$15, $D$11, 100%, $F$11)</f>
        <v>29.0809</v>
      </c>
      <c r="H912" s="4">
        <f>CHOOSE( CONTROL!$C$32, 30.0318, 30.0295) * CHOOSE(CONTROL!$C$15, $D$11, 100%, $F$11)</f>
        <v>30.0318</v>
      </c>
      <c r="I912" s="8">
        <f>CHOOSE( CONTROL!$C$32, 28.6761, 28.6739) * CHOOSE(CONTROL!$C$15, $D$11, 100%, $F$11)</f>
        <v>28.676100000000002</v>
      </c>
      <c r="J912" s="4">
        <f>CHOOSE( CONTROL!$C$32, 28.5471, 28.5449) * CHOOSE(CONTROL!$C$15, $D$11, 100%, $F$11)</f>
        <v>28.5471</v>
      </c>
      <c r="K912" s="4"/>
      <c r="L912" s="9">
        <v>30.7165</v>
      </c>
      <c r="M912" s="9">
        <v>12.063700000000001</v>
      </c>
      <c r="N912" s="9">
        <v>4.9444999999999997</v>
      </c>
      <c r="O912" s="9">
        <v>0.37409999999999999</v>
      </c>
      <c r="P912" s="9">
        <v>1.2183999999999999</v>
      </c>
      <c r="Q912" s="9">
        <v>19.688099999999999</v>
      </c>
      <c r="R912" s="9"/>
      <c r="S912" s="11"/>
    </row>
    <row r="913" spans="1:19" ht="15.75">
      <c r="A913" s="13">
        <v>69306</v>
      </c>
      <c r="B913" s="8">
        <f>CHOOSE( CONTROL!$C$32, 29.1256, 29.1233) * CHOOSE(CONTROL!$C$15, $D$11, 100%, $F$11)</f>
        <v>29.125599999999999</v>
      </c>
      <c r="C913" s="8">
        <f>CHOOSE( CONTROL!$C$32, 29.1362, 29.1339) * CHOOSE(CONTROL!$C$15, $D$11, 100%, $F$11)</f>
        <v>29.136199999999999</v>
      </c>
      <c r="D913" s="8">
        <f>CHOOSE( CONTROL!$C$32, 29.1704, 29.1681) * CHOOSE( CONTROL!$C$15, $D$11, 100%, $F$11)</f>
        <v>29.170400000000001</v>
      </c>
      <c r="E913" s="12">
        <f>CHOOSE( CONTROL!$C$32, 29.1564, 29.1541) * CHOOSE( CONTROL!$C$15, $D$11, 100%, $F$11)</f>
        <v>29.156400000000001</v>
      </c>
      <c r="F913" s="4">
        <f>CHOOSE( CONTROL!$C$32, 29.8546, 29.8523) * CHOOSE(CONTROL!$C$15, $D$11, 100%, $F$11)</f>
        <v>29.854600000000001</v>
      </c>
      <c r="G913" s="8">
        <f>CHOOSE( CONTROL!$C$32, 28.4719, 28.4697) * CHOOSE( CONTROL!$C$15, $D$11, 100%, $F$11)</f>
        <v>28.471900000000002</v>
      </c>
      <c r="H913" s="4">
        <f>CHOOSE( CONTROL!$C$32, 29.4229, 29.4206) * CHOOSE(CONTROL!$C$15, $D$11, 100%, $F$11)</f>
        <v>29.422899999999998</v>
      </c>
      <c r="I913" s="8">
        <f>CHOOSE( CONTROL!$C$32, 28.0777, 28.0755) * CHOOSE(CONTROL!$C$15, $D$11, 100%, $F$11)</f>
        <v>28.0777</v>
      </c>
      <c r="J913" s="4">
        <f>CHOOSE( CONTROL!$C$32, 27.9492, 27.947) * CHOOSE(CONTROL!$C$15, $D$11, 100%, $F$11)</f>
        <v>27.949200000000001</v>
      </c>
      <c r="K913" s="4"/>
      <c r="L913" s="9">
        <v>29.7257</v>
      </c>
      <c r="M913" s="9">
        <v>11.6745</v>
      </c>
      <c r="N913" s="9">
        <v>4.7850000000000001</v>
      </c>
      <c r="O913" s="9">
        <v>0.36199999999999999</v>
      </c>
      <c r="P913" s="9">
        <v>1.1791</v>
      </c>
      <c r="Q913" s="9">
        <v>19.053000000000001</v>
      </c>
      <c r="R913" s="9"/>
      <c r="S913" s="11"/>
    </row>
    <row r="914" spans="1:19" ht="15.75">
      <c r="A914" s="13">
        <v>69337</v>
      </c>
      <c r="B914" s="8">
        <f>30.4165 * CHOOSE(CONTROL!$C$15, $D$11, 100%, $F$11)</f>
        <v>30.416499999999999</v>
      </c>
      <c r="C914" s="8">
        <f>30.4273 * CHOOSE(CONTROL!$C$15, $D$11, 100%, $F$11)</f>
        <v>30.427299999999999</v>
      </c>
      <c r="D914" s="8">
        <f>30.4627 * CHOOSE( CONTROL!$C$15, $D$11, 100%, $F$11)</f>
        <v>30.462700000000002</v>
      </c>
      <c r="E914" s="12">
        <f>30.4499 * CHOOSE( CONTROL!$C$15, $D$11, 100%, $F$11)</f>
        <v>30.4499</v>
      </c>
      <c r="F914" s="4">
        <f>31.1454 * CHOOSE(CONTROL!$C$15, $D$11, 100%, $F$11)</f>
        <v>31.145399999999999</v>
      </c>
      <c r="G914" s="8">
        <f>29.7337 * CHOOSE( CONTROL!$C$15, $D$11, 100%, $F$11)</f>
        <v>29.733699999999999</v>
      </c>
      <c r="H914" s="4">
        <f>30.6849 * CHOOSE(CONTROL!$C$15, $D$11, 100%, $F$11)</f>
        <v>30.684899999999999</v>
      </c>
      <c r="I914" s="8">
        <f>29.3185 * CHOOSE(CONTROL!$C$15, $D$11, 100%, $F$11)</f>
        <v>29.3185</v>
      </c>
      <c r="J914" s="4">
        <f>29.1885 * CHOOSE(CONTROL!$C$15, $D$11, 100%, $F$11)</f>
        <v>29.188500000000001</v>
      </c>
      <c r="K914" s="4"/>
      <c r="L914" s="9">
        <v>31.095300000000002</v>
      </c>
      <c r="M914" s="9">
        <v>12.063700000000001</v>
      </c>
      <c r="N914" s="9">
        <v>4.9444999999999997</v>
      </c>
      <c r="O914" s="9">
        <v>0.37409999999999999</v>
      </c>
      <c r="P914" s="9">
        <v>1.2183999999999999</v>
      </c>
      <c r="Q914" s="9">
        <v>19.688099999999999</v>
      </c>
      <c r="R914" s="9"/>
      <c r="S914" s="11"/>
    </row>
    <row r="915" spans="1:19" ht="15.75">
      <c r="A915" s="13">
        <v>69367</v>
      </c>
      <c r="B915" s="8">
        <f>32.8033 * CHOOSE(CONTROL!$C$15, $D$11, 100%, $F$11)</f>
        <v>32.8033</v>
      </c>
      <c r="C915" s="8">
        <f>32.8141 * CHOOSE(CONTROL!$C$15, $D$11, 100%, $F$11)</f>
        <v>32.814100000000003</v>
      </c>
      <c r="D915" s="8">
        <f>32.7902 * CHOOSE( CONTROL!$C$15, $D$11, 100%, $F$11)</f>
        <v>32.790199999999999</v>
      </c>
      <c r="E915" s="12">
        <f>32.7978 * CHOOSE( CONTROL!$C$15, $D$11, 100%, $F$11)</f>
        <v>32.797800000000002</v>
      </c>
      <c r="F915" s="4">
        <f>33.4645 * CHOOSE(CONTROL!$C$15, $D$11, 100%, $F$11)</f>
        <v>33.464500000000001</v>
      </c>
      <c r="G915" s="8">
        <f>32.0673 * CHOOSE( CONTROL!$C$15, $D$11, 100%, $F$11)</f>
        <v>32.067300000000003</v>
      </c>
      <c r="H915" s="4">
        <f>32.9523 * CHOOSE(CONTROL!$C$15, $D$11, 100%, $F$11)</f>
        <v>32.952300000000001</v>
      </c>
      <c r="I915" s="8">
        <f>31.6546 * CHOOSE(CONTROL!$C$15, $D$11, 100%, $F$11)</f>
        <v>31.654599999999999</v>
      </c>
      <c r="J915" s="4">
        <f>31.48 * CHOOSE(CONTROL!$C$15, $D$11, 100%, $F$11)</f>
        <v>31.48</v>
      </c>
      <c r="K915" s="4"/>
      <c r="L915" s="9">
        <v>28.360600000000002</v>
      </c>
      <c r="M915" s="9">
        <v>11.6745</v>
      </c>
      <c r="N915" s="9">
        <v>4.7850000000000001</v>
      </c>
      <c r="O915" s="9">
        <v>0.36199999999999999</v>
      </c>
      <c r="P915" s="9">
        <v>1.2509999999999999</v>
      </c>
      <c r="Q915" s="9">
        <v>19.053000000000001</v>
      </c>
      <c r="R915" s="9"/>
      <c r="S915" s="11"/>
    </row>
    <row r="916" spans="1:19" ht="15.75">
      <c r="A916" s="13">
        <v>69398</v>
      </c>
      <c r="B916" s="8">
        <f>32.7437 * CHOOSE(CONTROL!$C$15, $D$11, 100%, $F$11)</f>
        <v>32.743699999999997</v>
      </c>
      <c r="C916" s="8">
        <f>32.7545 * CHOOSE(CONTROL!$C$15, $D$11, 100%, $F$11)</f>
        <v>32.7545</v>
      </c>
      <c r="D916" s="8">
        <f>32.7322 * CHOOSE( CONTROL!$C$15, $D$11, 100%, $F$11)</f>
        <v>32.732199999999999</v>
      </c>
      <c r="E916" s="12">
        <f>32.7392 * CHOOSE( CONTROL!$C$15, $D$11, 100%, $F$11)</f>
        <v>32.739199999999997</v>
      </c>
      <c r="F916" s="4">
        <f>33.4048 * CHOOSE(CONTROL!$C$15, $D$11, 100%, $F$11)</f>
        <v>33.404800000000002</v>
      </c>
      <c r="G916" s="8">
        <f>32.0102 * CHOOSE( CONTROL!$C$15, $D$11, 100%, $F$11)</f>
        <v>32.010199999999998</v>
      </c>
      <c r="H916" s="4">
        <f>32.894 * CHOOSE(CONTROL!$C$15, $D$11, 100%, $F$11)</f>
        <v>32.893999999999998</v>
      </c>
      <c r="I916" s="8">
        <f>31.6025 * CHOOSE(CONTROL!$C$15, $D$11, 100%, $F$11)</f>
        <v>31.602499999999999</v>
      </c>
      <c r="J916" s="4">
        <f>31.4228 * CHOOSE(CONTROL!$C$15, $D$11, 100%, $F$11)</f>
        <v>31.422799999999999</v>
      </c>
      <c r="K916" s="4"/>
      <c r="L916" s="9">
        <v>29.306000000000001</v>
      </c>
      <c r="M916" s="9">
        <v>12.063700000000001</v>
      </c>
      <c r="N916" s="9">
        <v>4.9444999999999997</v>
      </c>
      <c r="O916" s="9">
        <v>0.37409999999999999</v>
      </c>
      <c r="P916" s="9">
        <v>1.2927</v>
      </c>
      <c r="Q916" s="9">
        <v>19.688099999999999</v>
      </c>
      <c r="R916" s="9"/>
      <c r="S916" s="11"/>
    </row>
    <row r="917" spans="1:19" ht="15.75">
      <c r="A917" s="13">
        <v>69429</v>
      </c>
      <c r="B917" s="8">
        <f>33.7091 * CHOOSE(CONTROL!$C$15, $D$11, 100%, $F$11)</f>
        <v>33.709099999999999</v>
      </c>
      <c r="C917" s="8">
        <f>33.7199 * CHOOSE(CONTROL!$C$15, $D$11, 100%, $F$11)</f>
        <v>33.719900000000003</v>
      </c>
      <c r="D917" s="8">
        <f>33.7015 * CHOOSE( CONTROL!$C$15, $D$11, 100%, $F$11)</f>
        <v>33.701500000000003</v>
      </c>
      <c r="E917" s="12">
        <f>33.7071 * CHOOSE( CONTROL!$C$15, $D$11, 100%, $F$11)</f>
        <v>33.707099999999997</v>
      </c>
      <c r="F917" s="4">
        <f>34.3702 * CHOOSE(CONTROL!$C$15, $D$11, 100%, $F$11)</f>
        <v>34.370199999999997</v>
      </c>
      <c r="G917" s="8">
        <f>32.9497 * CHOOSE( CONTROL!$C$15, $D$11, 100%, $F$11)</f>
        <v>32.9497</v>
      </c>
      <c r="H917" s="4">
        <f>33.8378 * CHOOSE(CONTROL!$C$15, $D$11, 100%, $F$11)</f>
        <v>33.837800000000001</v>
      </c>
      <c r="I917" s="8">
        <f>32.4852 * CHOOSE(CONTROL!$C$15, $D$11, 100%, $F$11)</f>
        <v>32.485199999999999</v>
      </c>
      <c r="J917" s="4">
        <f>32.3496 * CHOOSE(CONTROL!$C$15, $D$11, 100%, $F$11)</f>
        <v>32.349600000000002</v>
      </c>
      <c r="K917" s="4"/>
      <c r="L917" s="9">
        <v>29.306000000000001</v>
      </c>
      <c r="M917" s="9">
        <v>12.063700000000001</v>
      </c>
      <c r="N917" s="9">
        <v>4.9444999999999997</v>
      </c>
      <c r="O917" s="9">
        <v>0.37409999999999999</v>
      </c>
      <c r="P917" s="9">
        <v>1.2927</v>
      </c>
      <c r="Q917" s="9">
        <v>19.688099999999999</v>
      </c>
      <c r="R917" s="9"/>
      <c r="S917" s="11"/>
    </row>
    <row r="918" spans="1:19" ht="15.75">
      <c r="A918" s="13">
        <v>69457</v>
      </c>
      <c r="B918" s="8">
        <f>31.5308 * CHOOSE(CONTROL!$C$15, $D$11, 100%, $F$11)</f>
        <v>31.530799999999999</v>
      </c>
      <c r="C918" s="8">
        <f>31.5416 * CHOOSE(CONTROL!$C$15, $D$11, 100%, $F$11)</f>
        <v>31.541599999999999</v>
      </c>
      <c r="D918" s="8">
        <f>31.523 * CHOOSE( CONTROL!$C$15, $D$11, 100%, $F$11)</f>
        <v>31.523</v>
      </c>
      <c r="E918" s="12">
        <f>31.5287 * CHOOSE( CONTROL!$C$15, $D$11, 100%, $F$11)</f>
        <v>31.528700000000001</v>
      </c>
      <c r="F918" s="4">
        <f>32.1919 * CHOOSE(CONTROL!$C$15, $D$11, 100%, $F$11)</f>
        <v>32.191899999999997</v>
      </c>
      <c r="G918" s="8">
        <f>30.8199 * CHOOSE( CONTROL!$C$15, $D$11, 100%, $F$11)</f>
        <v>30.819900000000001</v>
      </c>
      <c r="H918" s="4">
        <f>31.7082 * CHOOSE(CONTROL!$C$15, $D$11, 100%, $F$11)</f>
        <v>31.708200000000001</v>
      </c>
      <c r="I918" s="8">
        <f>30.3923 * CHOOSE(CONTROL!$C$15, $D$11, 100%, $F$11)</f>
        <v>30.392299999999999</v>
      </c>
      <c r="J918" s="4">
        <f>30.2583 * CHOOSE(CONTROL!$C$15, $D$11, 100%, $F$11)</f>
        <v>30.258299999999998</v>
      </c>
      <c r="K918" s="4"/>
      <c r="L918" s="9">
        <v>26.469899999999999</v>
      </c>
      <c r="M918" s="9">
        <v>10.8962</v>
      </c>
      <c r="N918" s="9">
        <v>4.4660000000000002</v>
      </c>
      <c r="O918" s="9">
        <v>0.33789999999999998</v>
      </c>
      <c r="P918" s="9">
        <v>1.1676</v>
      </c>
      <c r="Q918" s="9">
        <v>17.782800000000002</v>
      </c>
      <c r="R918" s="9"/>
      <c r="S918" s="11"/>
    </row>
    <row r="919" spans="1:19" ht="15.75">
      <c r="A919" s="13">
        <v>69488</v>
      </c>
      <c r="B919" s="8">
        <f>30.8599 * CHOOSE(CONTROL!$C$15, $D$11, 100%, $F$11)</f>
        <v>30.8599</v>
      </c>
      <c r="C919" s="8">
        <f>30.8707 * CHOOSE(CONTROL!$C$15, $D$11, 100%, $F$11)</f>
        <v>30.870699999999999</v>
      </c>
      <c r="D919" s="8">
        <f>30.8517 * CHOOSE( CONTROL!$C$15, $D$11, 100%, $F$11)</f>
        <v>30.851700000000001</v>
      </c>
      <c r="E919" s="12">
        <f>30.8575 * CHOOSE( CONTROL!$C$15, $D$11, 100%, $F$11)</f>
        <v>30.857500000000002</v>
      </c>
      <c r="F919" s="4">
        <f>31.521 * CHOOSE(CONTROL!$C$15, $D$11, 100%, $F$11)</f>
        <v>31.521000000000001</v>
      </c>
      <c r="G919" s="8">
        <f>30.1636 * CHOOSE( CONTROL!$C$15, $D$11, 100%, $F$11)</f>
        <v>30.163599999999999</v>
      </c>
      <c r="H919" s="4">
        <f>31.0522 * CHOOSE(CONTROL!$C$15, $D$11, 100%, $F$11)</f>
        <v>31.052199999999999</v>
      </c>
      <c r="I919" s="8">
        <f>29.7463 * CHOOSE(CONTROL!$C$15, $D$11, 100%, $F$11)</f>
        <v>29.746300000000002</v>
      </c>
      <c r="J919" s="4">
        <f>29.6142 * CHOOSE(CONTROL!$C$15, $D$11, 100%, $F$11)</f>
        <v>29.6142</v>
      </c>
      <c r="K919" s="4"/>
      <c r="L919" s="9">
        <v>29.306000000000001</v>
      </c>
      <c r="M919" s="9">
        <v>12.063700000000001</v>
      </c>
      <c r="N919" s="9">
        <v>4.9444999999999997</v>
      </c>
      <c r="O919" s="9">
        <v>0.37409999999999999</v>
      </c>
      <c r="P919" s="9">
        <v>1.2927</v>
      </c>
      <c r="Q919" s="9">
        <v>19.688099999999999</v>
      </c>
      <c r="R919" s="9"/>
      <c r="S919" s="11"/>
    </row>
    <row r="920" spans="1:19" ht="15.75">
      <c r="A920" s="13">
        <v>69518</v>
      </c>
      <c r="B920" s="8">
        <f>31.3287 * CHOOSE(CONTROL!$C$15, $D$11, 100%, $F$11)</f>
        <v>31.328700000000001</v>
      </c>
      <c r="C920" s="8">
        <f>31.3395 * CHOOSE(CONTROL!$C$15, $D$11, 100%, $F$11)</f>
        <v>31.339500000000001</v>
      </c>
      <c r="D920" s="8">
        <f>31.3743 * CHOOSE( CONTROL!$C$15, $D$11, 100%, $F$11)</f>
        <v>31.374300000000002</v>
      </c>
      <c r="E920" s="12">
        <f>31.3616 * CHOOSE( CONTROL!$C$15, $D$11, 100%, $F$11)</f>
        <v>31.361599999999999</v>
      </c>
      <c r="F920" s="4">
        <f>32.0576 * CHOOSE(CONTROL!$C$15, $D$11, 100%, $F$11)</f>
        <v>32.057600000000001</v>
      </c>
      <c r="G920" s="8">
        <f>30.6247 * CHOOSE( CONTROL!$C$15, $D$11, 100%, $F$11)</f>
        <v>30.624700000000001</v>
      </c>
      <c r="H920" s="4">
        <f>31.5768 * CHOOSE(CONTROL!$C$15, $D$11, 100%, $F$11)</f>
        <v>31.576799999999999</v>
      </c>
      <c r="I920" s="8">
        <f>30.1919 * CHOOSE(CONTROL!$C$15, $D$11, 100%, $F$11)</f>
        <v>30.1919</v>
      </c>
      <c r="J920" s="4">
        <f>30.0643 * CHOOSE(CONTROL!$C$15, $D$11, 100%, $F$11)</f>
        <v>30.064299999999999</v>
      </c>
      <c r="K920" s="4"/>
      <c r="L920" s="9">
        <v>30.092199999999998</v>
      </c>
      <c r="M920" s="9">
        <v>11.6745</v>
      </c>
      <c r="N920" s="9">
        <v>4.7850000000000001</v>
      </c>
      <c r="O920" s="9">
        <v>0.36199999999999999</v>
      </c>
      <c r="P920" s="9">
        <v>1.1791</v>
      </c>
      <c r="Q920" s="9">
        <v>19.053000000000001</v>
      </c>
      <c r="R920" s="9"/>
      <c r="S920" s="11"/>
    </row>
    <row r="921" spans="1:19" ht="15.75">
      <c r="A921" s="13">
        <v>69549</v>
      </c>
      <c r="B921" s="8">
        <f>CHOOSE( CONTROL!$C$32, 32.1653, 32.163) * CHOOSE(CONTROL!$C$15, $D$11, 100%, $F$11)</f>
        <v>32.165300000000002</v>
      </c>
      <c r="C921" s="8">
        <f>CHOOSE( CONTROL!$C$32, 32.1759, 32.1736) * CHOOSE(CONTROL!$C$15, $D$11, 100%, $F$11)</f>
        <v>32.175899999999999</v>
      </c>
      <c r="D921" s="8">
        <f>CHOOSE( CONTROL!$C$32, 32.2097, 32.2074) * CHOOSE( CONTROL!$C$15, $D$11, 100%, $F$11)</f>
        <v>32.209699999999998</v>
      </c>
      <c r="E921" s="12">
        <f>CHOOSE( CONTROL!$C$32, 32.1958, 32.1935) * CHOOSE( CONTROL!$C$15, $D$11, 100%, $F$11)</f>
        <v>32.195799999999998</v>
      </c>
      <c r="F921" s="4">
        <f>CHOOSE( CONTROL!$C$32, 32.8942, 32.8919) * CHOOSE(CONTROL!$C$15, $D$11, 100%, $F$11)</f>
        <v>32.894199999999998</v>
      </c>
      <c r="G921" s="8">
        <f>CHOOSE( CONTROL!$C$32, 31.4432, 31.4409) * CHOOSE( CONTROL!$C$15, $D$11, 100%, $F$11)</f>
        <v>31.443200000000001</v>
      </c>
      <c r="H921" s="4">
        <f>CHOOSE( CONTROL!$C$32, 32.3948, 32.3925) * CHOOSE(CONTROL!$C$15, $D$11, 100%, $F$11)</f>
        <v>32.394799999999996</v>
      </c>
      <c r="I921" s="8">
        <f>CHOOSE( CONTROL!$C$32, 30.9957, 30.9935) * CHOOSE(CONTROL!$C$15, $D$11, 100%, $F$11)</f>
        <v>30.995699999999999</v>
      </c>
      <c r="J921" s="4">
        <f>CHOOSE( CONTROL!$C$32, 30.8676, 30.8654) * CHOOSE(CONTROL!$C$15, $D$11, 100%, $F$11)</f>
        <v>30.867599999999999</v>
      </c>
      <c r="K921" s="4"/>
      <c r="L921" s="9">
        <v>30.7165</v>
      </c>
      <c r="M921" s="9">
        <v>12.063700000000001</v>
      </c>
      <c r="N921" s="9">
        <v>4.9444999999999997</v>
      </c>
      <c r="O921" s="9">
        <v>0.37409999999999999</v>
      </c>
      <c r="P921" s="9">
        <v>1.2183999999999999</v>
      </c>
      <c r="Q921" s="9">
        <v>19.688099999999999</v>
      </c>
      <c r="R921" s="9"/>
      <c r="S921" s="11"/>
    </row>
    <row r="922" spans="1:19" ht="15.75">
      <c r="A922" s="13">
        <v>69579</v>
      </c>
      <c r="B922" s="8">
        <f>CHOOSE( CONTROL!$C$32, 31.6484, 31.6461) * CHOOSE(CONTROL!$C$15, $D$11, 100%, $F$11)</f>
        <v>31.648399999999999</v>
      </c>
      <c r="C922" s="8">
        <f>CHOOSE( CONTROL!$C$32, 31.659, 31.6567) * CHOOSE(CONTROL!$C$15, $D$11, 100%, $F$11)</f>
        <v>31.658999999999999</v>
      </c>
      <c r="D922" s="8">
        <f>CHOOSE( CONTROL!$C$32, 31.693, 31.6907) * CHOOSE( CONTROL!$C$15, $D$11, 100%, $F$11)</f>
        <v>31.693000000000001</v>
      </c>
      <c r="E922" s="12">
        <f>CHOOSE( CONTROL!$C$32, 31.6791, 31.6768) * CHOOSE( CONTROL!$C$15, $D$11, 100%, $F$11)</f>
        <v>31.679099999999998</v>
      </c>
      <c r="F922" s="4">
        <f>CHOOSE( CONTROL!$C$32, 32.3774, 32.3751) * CHOOSE(CONTROL!$C$15, $D$11, 100%, $F$11)</f>
        <v>32.377400000000002</v>
      </c>
      <c r="G922" s="8">
        <f>CHOOSE( CONTROL!$C$32, 30.9381, 30.9359) * CHOOSE( CONTROL!$C$15, $D$11, 100%, $F$11)</f>
        <v>30.938099999999999</v>
      </c>
      <c r="H922" s="4">
        <f>CHOOSE( CONTROL!$C$32, 31.8894, 31.8872) * CHOOSE(CONTROL!$C$15, $D$11, 100%, $F$11)</f>
        <v>31.889399999999998</v>
      </c>
      <c r="I922" s="8">
        <f>CHOOSE( CONTROL!$C$32, 30.5, 30.4977) * CHOOSE(CONTROL!$C$15, $D$11, 100%, $F$11)</f>
        <v>30.5</v>
      </c>
      <c r="J922" s="4">
        <f>CHOOSE( CONTROL!$C$32, 30.3713, 30.3691) * CHOOSE(CONTROL!$C$15, $D$11, 100%, $F$11)</f>
        <v>30.371300000000002</v>
      </c>
      <c r="K922" s="4"/>
      <c r="L922" s="9">
        <v>29.7257</v>
      </c>
      <c r="M922" s="9">
        <v>11.6745</v>
      </c>
      <c r="N922" s="9">
        <v>4.7850000000000001</v>
      </c>
      <c r="O922" s="9">
        <v>0.36199999999999999</v>
      </c>
      <c r="P922" s="9">
        <v>1.1791</v>
      </c>
      <c r="Q922" s="9">
        <v>19.053000000000001</v>
      </c>
      <c r="R922" s="9"/>
      <c r="S922" s="11"/>
    </row>
    <row r="923" spans="1:19" ht="15.75">
      <c r="A923" s="13">
        <v>69610</v>
      </c>
      <c r="B923" s="8">
        <f>CHOOSE( CONTROL!$C$32, 33.0095, 33.0072) * CHOOSE(CONTROL!$C$15, $D$11, 100%, $F$11)</f>
        <v>33.009500000000003</v>
      </c>
      <c r="C923" s="8">
        <f>CHOOSE( CONTROL!$C$32, 33.0201, 33.0178) * CHOOSE(CONTROL!$C$15, $D$11, 100%, $F$11)</f>
        <v>33.020099999999999</v>
      </c>
      <c r="D923" s="8">
        <f>CHOOSE( CONTROL!$C$32, 33.0543, 33.052) * CHOOSE( CONTROL!$C$15, $D$11, 100%, $F$11)</f>
        <v>33.054299999999998</v>
      </c>
      <c r="E923" s="12">
        <f>CHOOSE( CONTROL!$C$32, 33.0403, 33.038) * CHOOSE( CONTROL!$C$15, $D$11, 100%, $F$11)</f>
        <v>33.040300000000002</v>
      </c>
      <c r="F923" s="4">
        <f>CHOOSE( CONTROL!$C$32, 33.7385, 33.7362) * CHOOSE(CONTROL!$C$15, $D$11, 100%, $F$11)</f>
        <v>33.738500000000002</v>
      </c>
      <c r="G923" s="8">
        <f>CHOOSE( CONTROL!$C$32, 32.2692, 32.2669) * CHOOSE( CONTROL!$C$15, $D$11, 100%, $F$11)</f>
        <v>32.269199999999998</v>
      </c>
      <c r="H923" s="4">
        <f>CHOOSE( CONTROL!$C$32, 33.2202, 33.2179) * CHOOSE(CONTROL!$C$15, $D$11, 100%, $F$11)</f>
        <v>33.220199999999998</v>
      </c>
      <c r="I923" s="8">
        <f>CHOOSE( CONTROL!$C$32, 31.8084, 31.8062) * CHOOSE(CONTROL!$C$15, $D$11, 100%, $F$11)</f>
        <v>31.808399999999999</v>
      </c>
      <c r="J923" s="4">
        <f>CHOOSE( CONTROL!$C$32, 31.6781, 31.6759) * CHOOSE(CONTROL!$C$15, $D$11, 100%, $F$11)</f>
        <v>31.678100000000001</v>
      </c>
      <c r="K923" s="4"/>
      <c r="L923" s="9">
        <v>30.7165</v>
      </c>
      <c r="M923" s="9">
        <v>12.063700000000001</v>
      </c>
      <c r="N923" s="9">
        <v>4.9444999999999997</v>
      </c>
      <c r="O923" s="9">
        <v>0.37409999999999999</v>
      </c>
      <c r="P923" s="9">
        <v>1.2183999999999999</v>
      </c>
      <c r="Q923" s="9">
        <v>19.688099999999999</v>
      </c>
      <c r="R923" s="9"/>
      <c r="S923" s="11"/>
    </row>
    <row r="924" spans="1:19" ht="15.75">
      <c r="A924" s="13">
        <v>69641</v>
      </c>
      <c r="B924" s="8">
        <f>CHOOSE( CONTROL!$C$32, 30.4628, 30.4605) * CHOOSE(CONTROL!$C$15, $D$11, 100%, $F$11)</f>
        <v>30.462800000000001</v>
      </c>
      <c r="C924" s="8">
        <f>CHOOSE( CONTROL!$C$32, 30.4733, 30.471) * CHOOSE(CONTROL!$C$15, $D$11, 100%, $F$11)</f>
        <v>30.473299999999998</v>
      </c>
      <c r="D924" s="8">
        <f>CHOOSE( CONTROL!$C$32, 30.5076, 30.5053) * CHOOSE( CONTROL!$C$15, $D$11, 100%, $F$11)</f>
        <v>30.5076</v>
      </c>
      <c r="E924" s="12">
        <f>CHOOSE( CONTROL!$C$32, 30.4936, 30.4913) * CHOOSE( CONTROL!$C$15, $D$11, 100%, $F$11)</f>
        <v>30.493600000000001</v>
      </c>
      <c r="F924" s="4">
        <f>CHOOSE( CONTROL!$C$32, 31.1917, 31.1894) * CHOOSE(CONTROL!$C$15, $D$11, 100%, $F$11)</f>
        <v>31.191700000000001</v>
      </c>
      <c r="G924" s="8">
        <f>CHOOSE( CONTROL!$C$32, 29.7793, 29.777) * CHOOSE( CONTROL!$C$15, $D$11, 100%, $F$11)</f>
        <v>29.779299999999999</v>
      </c>
      <c r="H924" s="4">
        <f>CHOOSE( CONTROL!$C$32, 30.7302, 30.728) * CHOOSE(CONTROL!$C$15, $D$11, 100%, $F$11)</f>
        <v>30.7302</v>
      </c>
      <c r="I924" s="8">
        <f>CHOOSE( CONTROL!$C$32, 29.3623, 29.3601) * CHOOSE(CONTROL!$C$15, $D$11, 100%, $F$11)</f>
        <v>29.362300000000001</v>
      </c>
      <c r="J924" s="4">
        <f>CHOOSE( CONTROL!$C$32, 29.233, 29.2308) * CHOOSE(CONTROL!$C$15, $D$11, 100%, $F$11)</f>
        <v>29.233000000000001</v>
      </c>
      <c r="K924" s="4"/>
      <c r="L924" s="9">
        <v>30.7165</v>
      </c>
      <c r="M924" s="9">
        <v>12.063700000000001</v>
      </c>
      <c r="N924" s="9">
        <v>4.9444999999999997</v>
      </c>
      <c r="O924" s="9">
        <v>0.37409999999999999</v>
      </c>
      <c r="P924" s="9">
        <v>1.2183999999999999</v>
      </c>
      <c r="Q924" s="9">
        <v>19.688099999999999</v>
      </c>
      <c r="R924" s="9"/>
      <c r="S924" s="11"/>
    </row>
    <row r="925" spans="1:19" ht="15.75">
      <c r="A925" s="13">
        <v>69671</v>
      </c>
      <c r="B925" s="8">
        <f>CHOOSE( CONTROL!$C$32, 29.825, 29.8227) * CHOOSE(CONTROL!$C$15, $D$11, 100%, $F$11)</f>
        <v>29.824999999999999</v>
      </c>
      <c r="C925" s="8">
        <f>CHOOSE( CONTROL!$C$32, 29.8356, 29.8333) * CHOOSE(CONTROL!$C$15, $D$11, 100%, $F$11)</f>
        <v>29.835599999999999</v>
      </c>
      <c r="D925" s="8">
        <f>CHOOSE( CONTROL!$C$32, 29.8698, 29.8675) * CHOOSE( CONTROL!$C$15, $D$11, 100%, $F$11)</f>
        <v>29.869800000000001</v>
      </c>
      <c r="E925" s="12">
        <f>CHOOSE( CONTROL!$C$32, 29.8558, 29.8535) * CHOOSE( CONTROL!$C$15, $D$11, 100%, $F$11)</f>
        <v>29.855799999999999</v>
      </c>
      <c r="F925" s="4">
        <f>CHOOSE( CONTROL!$C$32, 30.554, 30.5517) * CHOOSE(CONTROL!$C$15, $D$11, 100%, $F$11)</f>
        <v>30.553999999999998</v>
      </c>
      <c r="G925" s="8">
        <f>CHOOSE( CONTROL!$C$32, 29.1557, 29.1535) * CHOOSE( CONTROL!$C$15, $D$11, 100%, $F$11)</f>
        <v>29.1557</v>
      </c>
      <c r="H925" s="4">
        <f>CHOOSE( CONTROL!$C$32, 30.1067, 30.1045) * CHOOSE(CONTROL!$C$15, $D$11, 100%, $F$11)</f>
        <v>30.1067</v>
      </c>
      <c r="I925" s="8">
        <f>CHOOSE( CONTROL!$C$32, 28.7495, 28.7473) * CHOOSE(CONTROL!$C$15, $D$11, 100%, $F$11)</f>
        <v>28.749500000000001</v>
      </c>
      <c r="J925" s="4">
        <f>CHOOSE( CONTROL!$C$32, 28.6207, 28.6185) * CHOOSE(CONTROL!$C$15, $D$11, 100%, $F$11)</f>
        <v>28.620699999999999</v>
      </c>
      <c r="K925" s="4"/>
      <c r="L925" s="9">
        <v>29.7257</v>
      </c>
      <c r="M925" s="9">
        <v>11.6745</v>
      </c>
      <c r="N925" s="9">
        <v>4.7850000000000001</v>
      </c>
      <c r="O925" s="9">
        <v>0.36199999999999999</v>
      </c>
      <c r="P925" s="9">
        <v>1.1791</v>
      </c>
      <c r="Q925" s="9">
        <v>19.053000000000001</v>
      </c>
      <c r="R925" s="9"/>
      <c r="S925" s="11"/>
    </row>
    <row r="926" spans="1:19" ht="15.75">
      <c r="A926" s="13">
        <v>69702</v>
      </c>
      <c r="B926" s="8">
        <f>31.147 * CHOOSE(CONTROL!$C$15, $D$11, 100%, $F$11)</f>
        <v>31.146999999999998</v>
      </c>
      <c r="C926" s="8">
        <f>31.1577 * CHOOSE(CONTROL!$C$15, $D$11, 100%, $F$11)</f>
        <v>31.157699999999998</v>
      </c>
      <c r="D926" s="8">
        <f>31.1932 * CHOOSE( CONTROL!$C$15, $D$11, 100%, $F$11)</f>
        <v>31.193200000000001</v>
      </c>
      <c r="E926" s="12">
        <f>31.1803 * CHOOSE( CONTROL!$C$15, $D$11, 100%, $F$11)</f>
        <v>31.180299999999999</v>
      </c>
      <c r="F926" s="4">
        <f>31.8758 * CHOOSE(CONTROL!$C$15, $D$11, 100%, $F$11)</f>
        <v>31.875800000000002</v>
      </c>
      <c r="G926" s="8">
        <f>30.4479 * CHOOSE( CONTROL!$C$15, $D$11, 100%, $F$11)</f>
        <v>30.447900000000001</v>
      </c>
      <c r="H926" s="4">
        <f>31.3991 * CHOOSE(CONTROL!$C$15, $D$11, 100%, $F$11)</f>
        <v>31.399100000000001</v>
      </c>
      <c r="I926" s="8">
        <f>30.0202 * CHOOSE(CONTROL!$C$15, $D$11, 100%, $F$11)</f>
        <v>30.020199999999999</v>
      </c>
      <c r="J926" s="4">
        <f>29.8898 * CHOOSE(CONTROL!$C$15, $D$11, 100%, $F$11)</f>
        <v>29.889800000000001</v>
      </c>
      <c r="K926" s="4"/>
      <c r="L926" s="9">
        <v>31.095300000000002</v>
      </c>
      <c r="M926" s="9">
        <v>12.063700000000001</v>
      </c>
      <c r="N926" s="9">
        <v>4.9444999999999997</v>
      </c>
      <c r="O926" s="9">
        <v>0.37409999999999999</v>
      </c>
      <c r="P926" s="9">
        <v>1.2183999999999999</v>
      </c>
      <c r="Q926" s="9">
        <v>19.688099999999999</v>
      </c>
      <c r="R926" s="9"/>
      <c r="S926" s="11"/>
    </row>
    <row r="927" spans="1:19" ht="15.75">
      <c r="A927" s="13">
        <v>69732</v>
      </c>
      <c r="B927" s="8">
        <f>33.5912 * CHOOSE(CONTROL!$C$15, $D$11, 100%, $F$11)</f>
        <v>33.591200000000001</v>
      </c>
      <c r="C927" s="8">
        <f>33.6019 * CHOOSE(CONTROL!$C$15, $D$11, 100%, $F$11)</f>
        <v>33.601900000000001</v>
      </c>
      <c r="D927" s="8">
        <f>33.578 * CHOOSE( CONTROL!$C$15, $D$11, 100%, $F$11)</f>
        <v>33.578000000000003</v>
      </c>
      <c r="E927" s="12">
        <f>33.5856 * CHOOSE( CONTROL!$C$15, $D$11, 100%, $F$11)</f>
        <v>33.585599999999999</v>
      </c>
      <c r="F927" s="4">
        <f>34.2523 * CHOOSE(CONTROL!$C$15, $D$11, 100%, $F$11)</f>
        <v>34.252299999999998</v>
      </c>
      <c r="G927" s="8">
        <f>32.8375 * CHOOSE( CONTROL!$C$15, $D$11, 100%, $F$11)</f>
        <v>32.837499999999999</v>
      </c>
      <c r="H927" s="4">
        <f>33.7225 * CHOOSE(CONTROL!$C$15, $D$11, 100%, $F$11)</f>
        <v>33.722499999999997</v>
      </c>
      <c r="I927" s="8">
        <f>32.4113 * CHOOSE(CONTROL!$C$15, $D$11, 100%, $F$11)</f>
        <v>32.411299999999997</v>
      </c>
      <c r="J927" s="4">
        <f>32.2364 * CHOOSE(CONTROL!$C$15, $D$11, 100%, $F$11)</f>
        <v>32.236400000000003</v>
      </c>
      <c r="K927" s="4"/>
      <c r="L927" s="9">
        <v>28.360600000000002</v>
      </c>
      <c r="M927" s="9">
        <v>11.6745</v>
      </c>
      <c r="N927" s="9">
        <v>4.7850000000000001</v>
      </c>
      <c r="O927" s="9">
        <v>0.36199999999999999</v>
      </c>
      <c r="P927" s="9">
        <v>1.2509999999999999</v>
      </c>
      <c r="Q927" s="9">
        <v>19.053000000000001</v>
      </c>
      <c r="R927" s="9"/>
      <c r="S927" s="11"/>
    </row>
    <row r="928" spans="1:19" ht="15.75">
      <c r="A928" s="13">
        <v>69763</v>
      </c>
      <c r="B928" s="8">
        <f>33.5301 * CHOOSE(CONTROL!$C$15, $D$11, 100%, $F$11)</f>
        <v>33.530099999999997</v>
      </c>
      <c r="C928" s="8">
        <f>33.5409 * CHOOSE(CONTROL!$C$15, $D$11, 100%, $F$11)</f>
        <v>33.540900000000001</v>
      </c>
      <c r="D928" s="8">
        <f>33.5186 * CHOOSE( CONTROL!$C$15, $D$11, 100%, $F$11)</f>
        <v>33.518599999999999</v>
      </c>
      <c r="E928" s="12">
        <f>33.5256 * CHOOSE( CONTROL!$C$15, $D$11, 100%, $F$11)</f>
        <v>33.525599999999997</v>
      </c>
      <c r="F928" s="4">
        <f>34.1912 * CHOOSE(CONTROL!$C$15, $D$11, 100%, $F$11)</f>
        <v>34.191200000000002</v>
      </c>
      <c r="G928" s="8">
        <f>32.7791 * CHOOSE( CONTROL!$C$15, $D$11, 100%, $F$11)</f>
        <v>32.7791</v>
      </c>
      <c r="H928" s="4">
        <f>33.6628 * CHOOSE(CONTROL!$C$15, $D$11, 100%, $F$11)</f>
        <v>33.662799999999997</v>
      </c>
      <c r="I928" s="8">
        <f>32.3579 * CHOOSE(CONTROL!$C$15, $D$11, 100%, $F$11)</f>
        <v>32.357900000000001</v>
      </c>
      <c r="J928" s="4">
        <f>32.1778 * CHOOSE(CONTROL!$C$15, $D$11, 100%, $F$11)</f>
        <v>32.177799999999998</v>
      </c>
      <c r="K928" s="4"/>
      <c r="L928" s="9">
        <v>29.306000000000001</v>
      </c>
      <c r="M928" s="9">
        <v>12.063700000000001</v>
      </c>
      <c r="N928" s="9">
        <v>4.9444999999999997</v>
      </c>
      <c r="O928" s="9">
        <v>0.37409999999999999</v>
      </c>
      <c r="P928" s="9">
        <v>1.2927</v>
      </c>
      <c r="Q928" s="9">
        <v>19.688099999999999</v>
      </c>
      <c r="R928" s="9"/>
      <c r="S928" s="11"/>
    </row>
    <row r="929" spans="1:19" ht="15.75">
      <c r="A929" s="13">
        <v>69794</v>
      </c>
      <c r="B929" s="8">
        <f>34.5187 * CHOOSE(CONTROL!$C$15, $D$11, 100%, $F$11)</f>
        <v>34.518700000000003</v>
      </c>
      <c r="C929" s="8">
        <f>34.5294 * CHOOSE(CONTROL!$C$15, $D$11, 100%, $F$11)</f>
        <v>34.529400000000003</v>
      </c>
      <c r="D929" s="8">
        <f>34.511 * CHOOSE( CONTROL!$C$15, $D$11, 100%, $F$11)</f>
        <v>34.511000000000003</v>
      </c>
      <c r="E929" s="12">
        <f>34.5166 * CHOOSE( CONTROL!$C$15, $D$11, 100%, $F$11)</f>
        <v>34.516599999999997</v>
      </c>
      <c r="F929" s="4">
        <f>35.1798 * CHOOSE(CONTROL!$C$15, $D$11, 100%, $F$11)</f>
        <v>35.1798</v>
      </c>
      <c r="G929" s="8">
        <f>33.7412 * CHOOSE( CONTROL!$C$15, $D$11, 100%, $F$11)</f>
        <v>33.741199999999999</v>
      </c>
      <c r="H929" s="4">
        <f>34.6294 * CHOOSE(CONTROL!$C$15, $D$11, 100%, $F$11)</f>
        <v>34.629399999999997</v>
      </c>
      <c r="I929" s="8">
        <f>33.2628 * CHOOSE(CONTROL!$C$15, $D$11, 100%, $F$11)</f>
        <v>33.262799999999999</v>
      </c>
      <c r="J929" s="4">
        <f>33.1269 * CHOOSE(CONTROL!$C$15, $D$11, 100%, $F$11)</f>
        <v>33.126899999999999</v>
      </c>
      <c r="K929" s="4"/>
      <c r="L929" s="9">
        <v>29.306000000000001</v>
      </c>
      <c r="M929" s="9">
        <v>12.063700000000001</v>
      </c>
      <c r="N929" s="9">
        <v>4.9444999999999997</v>
      </c>
      <c r="O929" s="9">
        <v>0.37409999999999999</v>
      </c>
      <c r="P929" s="9">
        <v>1.2927</v>
      </c>
      <c r="Q929" s="9">
        <v>19.688099999999999</v>
      </c>
      <c r="R929" s="9"/>
      <c r="S929" s="11"/>
    </row>
    <row r="930" spans="1:19" ht="15.75">
      <c r="A930" s="13">
        <v>69822</v>
      </c>
      <c r="B930" s="8">
        <f>32.2881 * CHOOSE(CONTROL!$C$15, $D$11, 100%, $F$11)</f>
        <v>32.2881</v>
      </c>
      <c r="C930" s="8">
        <f>32.2988 * CHOOSE(CONTROL!$C$15, $D$11, 100%, $F$11)</f>
        <v>32.2988</v>
      </c>
      <c r="D930" s="8">
        <f>32.2803 * CHOOSE( CONTROL!$C$15, $D$11, 100%, $F$11)</f>
        <v>32.280299999999997</v>
      </c>
      <c r="E930" s="12">
        <f>32.2859 * CHOOSE( CONTROL!$C$15, $D$11, 100%, $F$11)</f>
        <v>32.285899999999998</v>
      </c>
      <c r="F930" s="4">
        <f>32.9492 * CHOOSE(CONTROL!$C$15, $D$11, 100%, $F$11)</f>
        <v>32.949199999999998</v>
      </c>
      <c r="G930" s="8">
        <f>31.5602 * CHOOSE( CONTROL!$C$15, $D$11, 100%, $F$11)</f>
        <v>31.560199999999998</v>
      </c>
      <c r="H930" s="4">
        <f>32.4485 * CHOOSE(CONTROL!$C$15, $D$11, 100%, $F$11)</f>
        <v>32.448500000000003</v>
      </c>
      <c r="I930" s="8">
        <f>31.1197 * CHOOSE(CONTROL!$C$15, $D$11, 100%, $F$11)</f>
        <v>31.119700000000002</v>
      </c>
      <c r="J930" s="4">
        <f>30.9853 * CHOOSE(CONTROL!$C$15, $D$11, 100%, $F$11)</f>
        <v>30.985299999999999</v>
      </c>
      <c r="K930" s="4"/>
      <c r="L930" s="9">
        <v>26.469899999999999</v>
      </c>
      <c r="M930" s="9">
        <v>10.8962</v>
      </c>
      <c r="N930" s="9">
        <v>4.4660000000000002</v>
      </c>
      <c r="O930" s="9">
        <v>0.33789999999999998</v>
      </c>
      <c r="P930" s="9">
        <v>1.1676</v>
      </c>
      <c r="Q930" s="9">
        <v>17.782800000000002</v>
      </c>
      <c r="R930" s="9"/>
      <c r="S930" s="11"/>
    </row>
    <row r="931" spans="1:19" ht="15.75">
      <c r="A931" s="13">
        <v>69853</v>
      </c>
      <c r="B931" s="8">
        <f>31.6011 * CHOOSE(CONTROL!$C$15, $D$11, 100%, $F$11)</f>
        <v>31.601099999999999</v>
      </c>
      <c r="C931" s="8">
        <f>31.6118 * CHOOSE(CONTROL!$C$15, $D$11, 100%, $F$11)</f>
        <v>31.611799999999999</v>
      </c>
      <c r="D931" s="8">
        <f>31.5928 * CHOOSE( CONTROL!$C$15, $D$11, 100%, $F$11)</f>
        <v>31.5928</v>
      </c>
      <c r="E931" s="12">
        <f>31.5986 * CHOOSE( CONTROL!$C$15, $D$11, 100%, $F$11)</f>
        <v>31.598600000000001</v>
      </c>
      <c r="F931" s="4">
        <f>32.2622 * CHOOSE(CONTROL!$C$15, $D$11, 100%, $F$11)</f>
        <v>32.2622</v>
      </c>
      <c r="G931" s="8">
        <f>30.8882 * CHOOSE( CONTROL!$C$15, $D$11, 100%, $F$11)</f>
        <v>30.888200000000001</v>
      </c>
      <c r="H931" s="4">
        <f>31.7768 * CHOOSE(CONTROL!$C$15, $D$11, 100%, $F$11)</f>
        <v>31.776800000000001</v>
      </c>
      <c r="I931" s="8">
        <f>30.4582 * CHOOSE(CONTROL!$C$15, $D$11, 100%, $F$11)</f>
        <v>30.458200000000001</v>
      </c>
      <c r="J931" s="4">
        <f>30.3257 * CHOOSE(CONTROL!$C$15, $D$11, 100%, $F$11)</f>
        <v>30.325700000000001</v>
      </c>
      <c r="K931" s="4"/>
      <c r="L931" s="9">
        <v>29.306000000000001</v>
      </c>
      <c r="M931" s="9">
        <v>12.063700000000001</v>
      </c>
      <c r="N931" s="9">
        <v>4.9444999999999997</v>
      </c>
      <c r="O931" s="9">
        <v>0.37409999999999999</v>
      </c>
      <c r="P931" s="9">
        <v>1.2927</v>
      </c>
      <c r="Q931" s="9">
        <v>19.688099999999999</v>
      </c>
      <c r="R931" s="9"/>
      <c r="S931" s="11"/>
    </row>
    <row r="932" spans="1:19" ht="15.75">
      <c r="A932" s="13">
        <v>69883</v>
      </c>
      <c r="B932" s="8">
        <f>32.0811 * CHOOSE(CONTROL!$C$15, $D$11, 100%, $F$11)</f>
        <v>32.081099999999999</v>
      </c>
      <c r="C932" s="8">
        <f>32.0919 * CHOOSE(CONTROL!$C$15, $D$11, 100%, $F$11)</f>
        <v>32.091900000000003</v>
      </c>
      <c r="D932" s="8">
        <f>32.1266 * CHOOSE( CONTROL!$C$15, $D$11, 100%, $F$11)</f>
        <v>32.126600000000003</v>
      </c>
      <c r="E932" s="12">
        <f>32.1139 * CHOOSE( CONTROL!$C$15, $D$11, 100%, $F$11)</f>
        <v>32.113900000000001</v>
      </c>
      <c r="F932" s="4">
        <f>32.8099 * CHOOSE(CONTROL!$C$15, $D$11, 100%, $F$11)</f>
        <v>32.809899999999999</v>
      </c>
      <c r="G932" s="8">
        <f>31.3603 * CHOOSE( CONTROL!$C$15, $D$11, 100%, $F$11)</f>
        <v>31.360299999999999</v>
      </c>
      <c r="H932" s="4">
        <f>32.3124 * CHOOSE(CONTROL!$C$15, $D$11, 100%, $F$11)</f>
        <v>32.312399999999997</v>
      </c>
      <c r="I932" s="8">
        <f>30.9146 * CHOOSE(CONTROL!$C$15, $D$11, 100%, $F$11)</f>
        <v>30.9146</v>
      </c>
      <c r="J932" s="4">
        <f>30.7866 * CHOOSE(CONTROL!$C$15, $D$11, 100%, $F$11)</f>
        <v>30.7866</v>
      </c>
      <c r="K932" s="4"/>
      <c r="L932" s="9">
        <v>30.092199999999998</v>
      </c>
      <c r="M932" s="9">
        <v>11.6745</v>
      </c>
      <c r="N932" s="9">
        <v>4.7850000000000001</v>
      </c>
      <c r="O932" s="9">
        <v>0.36199999999999999</v>
      </c>
      <c r="P932" s="9">
        <v>1.1791</v>
      </c>
      <c r="Q932" s="9">
        <v>19.053000000000001</v>
      </c>
      <c r="R932" s="9"/>
      <c r="S932" s="11"/>
    </row>
    <row r="933" spans="1:19" ht="15.75">
      <c r="A933" s="13">
        <v>69914</v>
      </c>
      <c r="B933" s="8">
        <f>CHOOSE( CONTROL!$C$32, 32.9377, 32.9354) * CHOOSE(CONTROL!$C$15, $D$11, 100%, $F$11)</f>
        <v>32.9377</v>
      </c>
      <c r="C933" s="8">
        <f>CHOOSE( CONTROL!$C$32, 32.9483, 32.946) * CHOOSE(CONTROL!$C$15, $D$11, 100%, $F$11)</f>
        <v>32.948300000000003</v>
      </c>
      <c r="D933" s="8">
        <f>CHOOSE( CONTROL!$C$32, 32.9821, 32.9798) * CHOOSE( CONTROL!$C$15, $D$11, 100%, $F$11)</f>
        <v>32.982100000000003</v>
      </c>
      <c r="E933" s="12">
        <f>CHOOSE( CONTROL!$C$32, 32.9682, 32.9659) * CHOOSE( CONTROL!$C$15, $D$11, 100%, $F$11)</f>
        <v>32.968200000000003</v>
      </c>
      <c r="F933" s="4">
        <f>CHOOSE( CONTROL!$C$32, 33.6667, 33.6644) * CHOOSE(CONTROL!$C$15, $D$11, 100%, $F$11)</f>
        <v>33.666699999999999</v>
      </c>
      <c r="G933" s="8">
        <f>CHOOSE( CONTROL!$C$32, 32.1984, 32.1962) * CHOOSE( CONTROL!$C$15, $D$11, 100%, $F$11)</f>
        <v>32.198399999999999</v>
      </c>
      <c r="H933" s="4">
        <f>CHOOSE( CONTROL!$C$32, 33.15, 33.1477) * CHOOSE(CONTROL!$C$15, $D$11, 100%, $F$11)</f>
        <v>33.15</v>
      </c>
      <c r="I933" s="8">
        <f>CHOOSE( CONTROL!$C$32, 31.7377, 31.7355) * CHOOSE(CONTROL!$C$15, $D$11, 100%, $F$11)</f>
        <v>31.7377</v>
      </c>
      <c r="J933" s="4">
        <f>CHOOSE( CONTROL!$C$32, 31.6092, 31.607) * CHOOSE(CONTROL!$C$15, $D$11, 100%, $F$11)</f>
        <v>31.609200000000001</v>
      </c>
      <c r="K933" s="4"/>
      <c r="L933" s="9">
        <v>30.7165</v>
      </c>
      <c r="M933" s="9">
        <v>12.063700000000001</v>
      </c>
      <c r="N933" s="9">
        <v>4.9444999999999997</v>
      </c>
      <c r="O933" s="9">
        <v>0.37409999999999999</v>
      </c>
      <c r="P933" s="9">
        <v>1.2183999999999999</v>
      </c>
      <c r="Q933" s="9">
        <v>19.688099999999999</v>
      </c>
      <c r="R933" s="9"/>
      <c r="S933" s="11"/>
    </row>
    <row r="934" spans="1:19" ht="15.75">
      <c r="A934" s="13">
        <v>69944</v>
      </c>
      <c r="B934" s="8">
        <f>CHOOSE( CONTROL!$C$32, 32.4084, 32.4061) * CHOOSE(CONTROL!$C$15, $D$11, 100%, $F$11)</f>
        <v>32.4084</v>
      </c>
      <c r="C934" s="8">
        <f>CHOOSE( CONTROL!$C$32, 32.419, 32.4167) * CHOOSE(CONTROL!$C$15, $D$11, 100%, $F$11)</f>
        <v>32.418999999999997</v>
      </c>
      <c r="D934" s="8">
        <f>CHOOSE( CONTROL!$C$32, 32.453, 32.4507) * CHOOSE( CONTROL!$C$15, $D$11, 100%, $F$11)</f>
        <v>32.453000000000003</v>
      </c>
      <c r="E934" s="12">
        <f>CHOOSE( CONTROL!$C$32, 32.4391, 32.4368) * CHOOSE( CONTROL!$C$15, $D$11, 100%, $F$11)</f>
        <v>32.439100000000003</v>
      </c>
      <c r="F934" s="4">
        <f>CHOOSE( CONTROL!$C$32, 33.1374, 33.1351) * CHOOSE(CONTROL!$C$15, $D$11, 100%, $F$11)</f>
        <v>33.1374</v>
      </c>
      <c r="G934" s="8">
        <f>CHOOSE( CONTROL!$C$32, 31.6812, 31.6789) * CHOOSE( CONTROL!$C$15, $D$11, 100%, $F$11)</f>
        <v>31.6812</v>
      </c>
      <c r="H934" s="4">
        <f>CHOOSE( CONTROL!$C$32, 32.6325, 32.6303) * CHOOSE(CONTROL!$C$15, $D$11, 100%, $F$11)</f>
        <v>32.6325</v>
      </c>
      <c r="I934" s="8">
        <f>CHOOSE( CONTROL!$C$32, 31.23, 31.2278) * CHOOSE(CONTROL!$C$15, $D$11, 100%, $F$11)</f>
        <v>31.23</v>
      </c>
      <c r="J934" s="4">
        <f>CHOOSE( CONTROL!$C$32, 31.101, 31.0988) * CHOOSE(CONTROL!$C$15, $D$11, 100%, $F$11)</f>
        <v>31.100999999999999</v>
      </c>
      <c r="K934" s="4"/>
      <c r="L934" s="9">
        <v>29.7257</v>
      </c>
      <c r="M934" s="9">
        <v>11.6745</v>
      </c>
      <c r="N934" s="9">
        <v>4.7850000000000001</v>
      </c>
      <c r="O934" s="9">
        <v>0.36199999999999999</v>
      </c>
      <c r="P934" s="9">
        <v>1.1791</v>
      </c>
      <c r="Q934" s="9">
        <v>19.053000000000001</v>
      </c>
      <c r="R934" s="9"/>
      <c r="S934" s="11"/>
    </row>
    <row r="935" spans="1:19" ht="15.75">
      <c r="A935" s="13">
        <v>69975</v>
      </c>
      <c r="B935" s="8">
        <f>CHOOSE( CONTROL!$C$32, 33.8022, 33.7999) * CHOOSE(CONTROL!$C$15, $D$11, 100%, $F$11)</f>
        <v>33.802199999999999</v>
      </c>
      <c r="C935" s="8">
        <f>CHOOSE( CONTROL!$C$32, 33.8128, 33.8105) * CHOOSE(CONTROL!$C$15, $D$11, 100%, $F$11)</f>
        <v>33.812800000000003</v>
      </c>
      <c r="D935" s="8">
        <f>CHOOSE( CONTROL!$C$32, 33.847, 33.8447) * CHOOSE( CONTROL!$C$15, $D$11, 100%, $F$11)</f>
        <v>33.847000000000001</v>
      </c>
      <c r="E935" s="12">
        <f>CHOOSE( CONTROL!$C$32, 33.833, 33.8307) * CHOOSE( CONTROL!$C$15, $D$11, 100%, $F$11)</f>
        <v>33.832999999999998</v>
      </c>
      <c r="F935" s="4">
        <f>CHOOSE( CONTROL!$C$32, 34.5312, 34.5289) * CHOOSE(CONTROL!$C$15, $D$11, 100%, $F$11)</f>
        <v>34.531199999999998</v>
      </c>
      <c r="G935" s="8">
        <f>CHOOSE( CONTROL!$C$32, 33.0442, 33.042) * CHOOSE( CONTROL!$C$15, $D$11, 100%, $F$11)</f>
        <v>33.044199999999996</v>
      </c>
      <c r="H935" s="4">
        <f>CHOOSE( CONTROL!$C$32, 33.9952, 33.993) * CHOOSE(CONTROL!$C$15, $D$11, 100%, $F$11)</f>
        <v>33.995199999999997</v>
      </c>
      <c r="I935" s="8">
        <f>CHOOSE( CONTROL!$C$32, 32.5698, 32.5676) * CHOOSE(CONTROL!$C$15, $D$11, 100%, $F$11)</f>
        <v>32.569800000000001</v>
      </c>
      <c r="J935" s="4">
        <f>CHOOSE( CONTROL!$C$32, 32.4392, 32.437) * CHOOSE(CONTROL!$C$15, $D$11, 100%, $F$11)</f>
        <v>32.4392</v>
      </c>
      <c r="K935" s="4"/>
      <c r="L935" s="9">
        <v>30.7165</v>
      </c>
      <c r="M935" s="9">
        <v>12.063700000000001</v>
      </c>
      <c r="N935" s="9">
        <v>4.9444999999999997</v>
      </c>
      <c r="O935" s="9">
        <v>0.37409999999999999</v>
      </c>
      <c r="P935" s="9">
        <v>1.2183999999999999</v>
      </c>
      <c r="Q935" s="9">
        <v>19.688099999999999</v>
      </c>
      <c r="R935" s="9"/>
      <c r="S935" s="11"/>
    </row>
    <row r="936" spans="1:19" ht="15.75">
      <c r="A936" s="13">
        <v>70006</v>
      </c>
      <c r="B936" s="8">
        <f>CHOOSE( CONTROL!$C$32, 31.1943, 31.192) * CHOOSE(CONTROL!$C$15, $D$11, 100%, $F$11)</f>
        <v>31.194299999999998</v>
      </c>
      <c r="C936" s="8">
        <f>CHOOSE( CONTROL!$C$32, 31.2049, 31.2026) * CHOOSE(CONTROL!$C$15, $D$11, 100%, $F$11)</f>
        <v>31.204899999999999</v>
      </c>
      <c r="D936" s="8">
        <f>CHOOSE( CONTROL!$C$32, 31.2391, 31.2368) * CHOOSE( CONTROL!$C$15, $D$11, 100%, $F$11)</f>
        <v>31.239100000000001</v>
      </c>
      <c r="E936" s="12">
        <f>CHOOSE( CONTROL!$C$32, 31.2251, 31.2228) * CHOOSE( CONTROL!$C$15, $D$11, 100%, $F$11)</f>
        <v>31.225100000000001</v>
      </c>
      <c r="F936" s="4">
        <f>CHOOSE( CONTROL!$C$32, 31.9232, 31.9209) * CHOOSE(CONTROL!$C$15, $D$11, 100%, $F$11)</f>
        <v>31.923200000000001</v>
      </c>
      <c r="G936" s="8">
        <f>CHOOSE( CONTROL!$C$32, 30.4945, 30.4923) * CHOOSE( CONTROL!$C$15, $D$11, 100%, $F$11)</f>
        <v>30.494499999999999</v>
      </c>
      <c r="H936" s="4">
        <f>CHOOSE( CONTROL!$C$32, 31.4454, 31.4432) * CHOOSE(CONTROL!$C$15, $D$11, 100%, $F$11)</f>
        <v>31.445399999999999</v>
      </c>
      <c r="I936" s="8">
        <f>CHOOSE( CONTROL!$C$32, 30.065, 30.0628) * CHOOSE(CONTROL!$C$15, $D$11, 100%, $F$11)</f>
        <v>30.065000000000001</v>
      </c>
      <c r="J936" s="4">
        <f>CHOOSE( CONTROL!$C$32, 29.9353, 29.9331) * CHOOSE(CONTROL!$C$15, $D$11, 100%, $F$11)</f>
        <v>29.935300000000002</v>
      </c>
      <c r="K936" s="4"/>
      <c r="L936" s="9">
        <v>30.7165</v>
      </c>
      <c r="M936" s="9">
        <v>12.063700000000001</v>
      </c>
      <c r="N936" s="9">
        <v>4.9444999999999997</v>
      </c>
      <c r="O936" s="9">
        <v>0.37409999999999999</v>
      </c>
      <c r="P936" s="9">
        <v>1.2183999999999999</v>
      </c>
      <c r="Q936" s="9">
        <v>19.688099999999999</v>
      </c>
      <c r="R936" s="9"/>
      <c r="S936" s="11"/>
    </row>
    <row r="937" spans="1:19" ht="15.75">
      <c r="A937" s="13">
        <v>70036</v>
      </c>
      <c r="B937" s="8">
        <f>CHOOSE( CONTROL!$C$32, 30.5412, 30.5389) * CHOOSE(CONTROL!$C$15, $D$11, 100%, $F$11)</f>
        <v>30.5412</v>
      </c>
      <c r="C937" s="8">
        <f>CHOOSE( CONTROL!$C$32, 30.5518, 30.5495) * CHOOSE(CONTROL!$C$15, $D$11, 100%, $F$11)</f>
        <v>30.5518</v>
      </c>
      <c r="D937" s="8">
        <f>CHOOSE( CONTROL!$C$32, 30.586, 30.5837) * CHOOSE( CONTROL!$C$15, $D$11, 100%, $F$11)</f>
        <v>30.585999999999999</v>
      </c>
      <c r="E937" s="12">
        <f>CHOOSE( CONTROL!$C$32, 30.572, 30.5697) * CHOOSE( CONTROL!$C$15, $D$11, 100%, $F$11)</f>
        <v>30.571999999999999</v>
      </c>
      <c r="F937" s="4">
        <f>CHOOSE( CONTROL!$C$32, 31.2702, 31.2679) * CHOOSE(CONTROL!$C$15, $D$11, 100%, $F$11)</f>
        <v>31.270199999999999</v>
      </c>
      <c r="G937" s="8">
        <f>CHOOSE( CONTROL!$C$32, 29.856, 29.8537) * CHOOSE( CONTROL!$C$15, $D$11, 100%, $F$11)</f>
        <v>29.856000000000002</v>
      </c>
      <c r="H937" s="4">
        <f>CHOOSE( CONTROL!$C$32, 30.8069, 30.8047) * CHOOSE(CONTROL!$C$15, $D$11, 100%, $F$11)</f>
        <v>30.806899999999999</v>
      </c>
      <c r="I937" s="8">
        <f>CHOOSE( CONTROL!$C$32, 29.4375, 29.4353) * CHOOSE(CONTROL!$C$15, $D$11, 100%, $F$11)</f>
        <v>29.4375</v>
      </c>
      <c r="J937" s="4">
        <f>CHOOSE( CONTROL!$C$32, 29.3083, 29.3061) * CHOOSE(CONTROL!$C$15, $D$11, 100%, $F$11)</f>
        <v>29.308299999999999</v>
      </c>
      <c r="K937" s="4"/>
      <c r="L937" s="9">
        <v>29.7257</v>
      </c>
      <c r="M937" s="9">
        <v>11.6745</v>
      </c>
      <c r="N937" s="9">
        <v>4.7850000000000001</v>
      </c>
      <c r="O937" s="9">
        <v>0.36199999999999999</v>
      </c>
      <c r="P937" s="9">
        <v>1.1791</v>
      </c>
      <c r="Q937" s="9">
        <v>19.053000000000001</v>
      </c>
      <c r="R937" s="9"/>
      <c r="S937" s="11"/>
    </row>
    <row r="938" spans="1:19" ht="15.75">
      <c r="A938" s="13">
        <v>70067</v>
      </c>
      <c r="B938" s="8">
        <f>31.895 * CHOOSE(CONTROL!$C$15, $D$11, 100%, $F$11)</f>
        <v>31.895</v>
      </c>
      <c r="C938" s="8">
        <f>31.9058 * CHOOSE(CONTROL!$C$15, $D$11, 100%, $F$11)</f>
        <v>31.905799999999999</v>
      </c>
      <c r="D938" s="8">
        <f>31.9412 * CHOOSE( CONTROL!$C$15, $D$11, 100%, $F$11)</f>
        <v>31.941199999999998</v>
      </c>
      <c r="E938" s="12">
        <f>31.9284 * CHOOSE( CONTROL!$C$15, $D$11, 100%, $F$11)</f>
        <v>31.9284</v>
      </c>
      <c r="F938" s="4">
        <f>32.6238 * CHOOSE(CONTROL!$C$15, $D$11, 100%, $F$11)</f>
        <v>32.623800000000003</v>
      </c>
      <c r="G938" s="8">
        <f>31.1793 * CHOOSE( CONTROL!$C$15, $D$11, 100%, $F$11)</f>
        <v>31.179300000000001</v>
      </c>
      <c r="H938" s="4">
        <f>32.1304 * CHOOSE(CONTROL!$C$15, $D$11, 100%, $F$11)</f>
        <v>32.130400000000002</v>
      </c>
      <c r="I938" s="8">
        <f>30.7387 * CHOOSE(CONTROL!$C$15, $D$11, 100%, $F$11)</f>
        <v>30.738700000000001</v>
      </c>
      <c r="J938" s="4">
        <f>30.608 * CHOOSE(CONTROL!$C$15, $D$11, 100%, $F$11)</f>
        <v>30.608000000000001</v>
      </c>
      <c r="K938" s="4"/>
      <c r="L938" s="9">
        <v>31.095300000000002</v>
      </c>
      <c r="M938" s="9">
        <v>12.063700000000001</v>
      </c>
      <c r="N938" s="9">
        <v>4.9444999999999997</v>
      </c>
      <c r="O938" s="9">
        <v>0.37409999999999999</v>
      </c>
      <c r="P938" s="9">
        <v>1.2183999999999999</v>
      </c>
      <c r="Q938" s="9">
        <v>19.688099999999999</v>
      </c>
      <c r="R938" s="9"/>
      <c r="S938" s="11"/>
    </row>
    <row r="939" spans="1:19" ht="15.75">
      <c r="A939" s="13">
        <v>70097</v>
      </c>
      <c r="B939" s="8">
        <f>34.3979 * CHOOSE(CONTROL!$C$15, $D$11, 100%, $F$11)</f>
        <v>34.3979</v>
      </c>
      <c r="C939" s="8">
        <f>34.4087 * CHOOSE(CONTROL!$C$15, $D$11, 100%, $F$11)</f>
        <v>34.408700000000003</v>
      </c>
      <c r="D939" s="8">
        <f>34.3847 * CHOOSE( CONTROL!$C$15, $D$11, 100%, $F$11)</f>
        <v>34.384700000000002</v>
      </c>
      <c r="E939" s="12">
        <f>34.3923 * CHOOSE( CONTROL!$C$15, $D$11, 100%, $F$11)</f>
        <v>34.392299999999999</v>
      </c>
      <c r="F939" s="4">
        <f>35.059 * CHOOSE(CONTROL!$C$15, $D$11, 100%, $F$11)</f>
        <v>35.058999999999997</v>
      </c>
      <c r="G939" s="8">
        <f>33.6263 * CHOOSE( CONTROL!$C$15, $D$11, 100%, $F$11)</f>
        <v>33.626300000000001</v>
      </c>
      <c r="H939" s="4">
        <f>34.5113 * CHOOSE(CONTROL!$C$15, $D$11, 100%, $F$11)</f>
        <v>34.511299999999999</v>
      </c>
      <c r="I939" s="8">
        <f>33.1863 * CHOOSE(CONTROL!$C$15, $D$11, 100%, $F$11)</f>
        <v>33.186300000000003</v>
      </c>
      <c r="J939" s="4">
        <f>33.011 * CHOOSE(CONTROL!$C$15, $D$11, 100%, $F$11)</f>
        <v>33.011000000000003</v>
      </c>
      <c r="K939" s="4"/>
      <c r="L939" s="9">
        <v>28.360600000000002</v>
      </c>
      <c r="M939" s="9">
        <v>11.6745</v>
      </c>
      <c r="N939" s="9">
        <v>4.7850000000000001</v>
      </c>
      <c r="O939" s="9">
        <v>0.36199999999999999</v>
      </c>
      <c r="P939" s="9">
        <v>1.2509999999999999</v>
      </c>
      <c r="Q939" s="9">
        <v>19.053000000000001</v>
      </c>
      <c r="R939" s="9"/>
      <c r="S939" s="11"/>
    </row>
    <row r="940" spans="1:19" ht="15.75">
      <c r="A940" s="13">
        <v>70128</v>
      </c>
      <c r="B940" s="8">
        <f>34.3354 * CHOOSE(CONTROL!$C$15, $D$11, 100%, $F$11)</f>
        <v>34.3354</v>
      </c>
      <c r="C940" s="8">
        <f>34.3461 * CHOOSE(CONTROL!$C$15, $D$11, 100%, $F$11)</f>
        <v>34.3461</v>
      </c>
      <c r="D940" s="8">
        <f>34.3239 * CHOOSE( CONTROL!$C$15, $D$11, 100%, $F$11)</f>
        <v>34.323900000000002</v>
      </c>
      <c r="E940" s="12">
        <f>34.3309 * CHOOSE( CONTROL!$C$15, $D$11, 100%, $F$11)</f>
        <v>34.3309</v>
      </c>
      <c r="F940" s="4">
        <f>34.9965 * CHOOSE(CONTROL!$C$15, $D$11, 100%, $F$11)</f>
        <v>34.996499999999997</v>
      </c>
      <c r="G940" s="8">
        <f>33.5664 * CHOOSE( CONTROL!$C$15, $D$11, 100%, $F$11)</f>
        <v>33.566400000000002</v>
      </c>
      <c r="H940" s="4">
        <f>34.4501 * CHOOSE(CONTROL!$C$15, $D$11, 100%, $F$11)</f>
        <v>34.450099999999999</v>
      </c>
      <c r="I940" s="8">
        <f>33.1314 * CHOOSE(CONTROL!$C$15, $D$11, 100%, $F$11)</f>
        <v>33.131399999999999</v>
      </c>
      <c r="J940" s="4">
        <f>32.9509 * CHOOSE(CONTROL!$C$15, $D$11, 100%, $F$11)</f>
        <v>32.950899999999997</v>
      </c>
      <c r="K940" s="4"/>
      <c r="L940" s="9">
        <v>29.306000000000001</v>
      </c>
      <c r="M940" s="9">
        <v>12.063700000000001</v>
      </c>
      <c r="N940" s="9">
        <v>4.9444999999999997</v>
      </c>
      <c r="O940" s="9">
        <v>0.37409999999999999</v>
      </c>
      <c r="P940" s="9">
        <v>1.2927</v>
      </c>
      <c r="Q940" s="9">
        <v>19.688099999999999</v>
      </c>
      <c r="R940" s="9"/>
      <c r="S940" s="11"/>
    </row>
    <row r="941" spans="1:19" ht="15.75">
      <c r="A941" s="13">
        <v>70159</v>
      </c>
      <c r="B941" s="8">
        <f>35.3477 * CHOOSE(CONTROL!$C$15, $D$11, 100%, $F$11)</f>
        <v>35.347700000000003</v>
      </c>
      <c r="C941" s="8">
        <f>35.3585 * CHOOSE(CONTROL!$C$15, $D$11, 100%, $F$11)</f>
        <v>35.358499999999999</v>
      </c>
      <c r="D941" s="8">
        <f>35.3401 * CHOOSE( CONTROL!$C$15, $D$11, 100%, $F$11)</f>
        <v>35.3401</v>
      </c>
      <c r="E941" s="12">
        <f>35.3457 * CHOOSE( CONTROL!$C$15, $D$11, 100%, $F$11)</f>
        <v>35.345700000000001</v>
      </c>
      <c r="F941" s="4">
        <f>36.0088 * CHOOSE(CONTROL!$C$15, $D$11, 100%, $F$11)</f>
        <v>36.008800000000001</v>
      </c>
      <c r="G941" s="8">
        <f>34.5517 * CHOOSE( CONTROL!$C$15, $D$11, 100%, $F$11)</f>
        <v>34.551699999999997</v>
      </c>
      <c r="H941" s="4">
        <f>35.4399 * CHOOSE(CONTROL!$C$15, $D$11, 100%, $F$11)</f>
        <v>35.439900000000002</v>
      </c>
      <c r="I941" s="8">
        <f>34.0592 * CHOOSE(CONTROL!$C$15, $D$11, 100%, $F$11)</f>
        <v>34.059199999999997</v>
      </c>
      <c r="J941" s="4">
        <f>33.9229 * CHOOSE(CONTROL!$C$15, $D$11, 100%, $F$11)</f>
        <v>33.922899999999998</v>
      </c>
      <c r="K941" s="4"/>
      <c r="L941" s="9">
        <v>29.306000000000001</v>
      </c>
      <c r="M941" s="9">
        <v>12.063700000000001</v>
      </c>
      <c r="N941" s="9">
        <v>4.9444999999999997</v>
      </c>
      <c r="O941" s="9">
        <v>0.37409999999999999</v>
      </c>
      <c r="P941" s="9">
        <v>1.2927</v>
      </c>
      <c r="Q941" s="9">
        <v>19.688099999999999</v>
      </c>
      <c r="R941" s="9"/>
      <c r="S941" s="11"/>
    </row>
    <row r="942" spans="1:19" ht="15.75">
      <c r="A942" s="13">
        <v>70188</v>
      </c>
      <c r="B942" s="8">
        <f>33.0635 * CHOOSE(CONTROL!$C$15, $D$11, 100%, $F$11)</f>
        <v>33.063499999999998</v>
      </c>
      <c r="C942" s="8">
        <f>33.0743 * CHOOSE(CONTROL!$C$15, $D$11, 100%, $F$11)</f>
        <v>33.074300000000001</v>
      </c>
      <c r="D942" s="8">
        <f>33.0557 * CHOOSE( CONTROL!$C$15, $D$11, 100%, $F$11)</f>
        <v>33.055700000000002</v>
      </c>
      <c r="E942" s="12">
        <f>33.0614 * CHOOSE( CONTROL!$C$15, $D$11, 100%, $F$11)</f>
        <v>33.061399999999999</v>
      </c>
      <c r="F942" s="4">
        <f>33.7246 * CHOOSE(CONTROL!$C$15, $D$11, 100%, $F$11)</f>
        <v>33.724600000000002</v>
      </c>
      <c r="G942" s="8">
        <f>32.3184 * CHOOSE( CONTROL!$C$15, $D$11, 100%, $F$11)</f>
        <v>32.318399999999997</v>
      </c>
      <c r="H942" s="4">
        <f>33.2067 * CHOOSE(CONTROL!$C$15, $D$11, 100%, $F$11)</f>
        <v>33.206699999999998</v>
      </c>
      <c r="I942" s="8">
        <f>31.8646 * CHOOSE(CONTROL!$C$15, $D$11, 100%, $F$11)</f>
        <v>31.864599999999999</v>
      </c>
      <c r="J942" s="4">
        <f>31.7298 * CHOOSE(CONTROL!$C$15, $D$11, 100%, $F$11)</f>
        <v>31.729800000000001</v>
      </c>
      <c r="K942" s="4"/>
      <c r="L942" s="9">
        <v>27.415299999999998</v>
      </c>
      <c r="M942" s="9">
        <v>11.285299999999999</v>
      </c>
      <c r="N942" s="9">
        <v>4.6254999999999997</v>
      </c>
      <c r="O942" s="9">
        <v>0.34989999999999999</v>
      </c>
      <c r="P942" s="9">
        <v>1.2093</v>
      </c>
      <c r="Q942" s="9">
        <v>18.417899999999999</v>
      </c>
      <c r="R942" s="9"/>
      <c r="S942" s="11"/>
    </row>
    <row r="943" spans="1:19" ht="15.75">
      <c r="A943" s="13">
        <v>70219</v>
      </c>
      <c r="B943" s="8">
        <f>32.36 * CHOOSE(CONTROL!$C$15, $D$11, 100%, $F$11)</f>
        <v>32.36</v>
      </c>
      <c r="C943" s="8">
        <f>32.3708 * CHOOSE(CONTROL!$C$15, $D$11, 100%, $F$11)</f>
        <v>32.370800000000003</v>
      </c>
      <c r="D943" s="8">
        <f>32.3517 * CHOOSE( CONTROL!$C$15, $D$11, 100%, $F$11)</f>
        <v>32.351700000000001</v>
      </c>
      <c r="E943" s="12">
        <f>32.3575 * CHOOSE( CONTROL!$C$15, $D$11, 100%, $F$11)</f>
        <v>32.357500000000002</v>
      </c>
      <c r="F943" s="4">
        <f>33.0211 * CHOOSE(CONTROL!$C$15, $D$11, 100%, $F$11)</f>
        <v>33.021099999999997</v>
      </c>
      <c r="G943" s="8">
        <f>31.6302 * CHOOSE( CONTROL!$C$15, $D$11, 100%, $F$11)</f>
        <v>31.630199999999999</v>
      </c>
      <c r="H943" s="4">
        <f>32.5188 * CHOOSE(CONTROL!$C$15, $D$11, 100%, $F$11)</f>
        <v>32.518799999999999</v>
      </c>
      <c r="I943" s="8">
        <f>31.1872 * CHOOSE(CONTROL!$C$15, $D$11, 100%, $F$11)</f>
        <v>31.187200000000001</v>
      </c>
      <c r="J943" s="4">
        <f>31.0544 * CHOOSE(CONTROL!$C$15, $D$11, 100%, $F$11)</f>
        <v>31.054400000000001</v>
      </c>
      <c r="K943" s="4"/>
      <c r="L943" s="9">
        <v>29.306000000000001</v>
      </c>
      <c r="M943" s="9">
        <v>12.063700000000001</v>
      </c>
      <c r="N943" s="9">
        <v>4.9444999999999997</v>
      </c>
      <c r="O943" s="9">
        <v>0.37409999999999999</v>
      </c>
      <c r="P943" s="9">
        <v>1.2927</v>
      </c>
      <c r="Q943" s="9">
        <v>19.688099999999999</v>
      </c>
      <c r="R943" s="9"/>
      <c r="S943" s="11"/>
    </row>
    <row r="944" spans="1:19" ht="15.75">
      <c r="A944" s="13">
        <v>70249</v>
      </c>
      <c r="B944" s="8">
        <f>32.8516 * CHOOSE(CONTROL!$C$15, $D$11, 100%, $F$11)</f>
        <v>32.851599999999998</v>
      </c>
      <c r="C944" s="8">
        <f>32.8624 * CHOOSE(CONTROL!$C$15, $D$11, 100%, $F$11)</f>
        <v>32.862400000000001</v>
      </c>
      <c r="D944" s="8">
        <f>32.8971 * CHOOSE( CONTROL!$C$15, $D$11, 100%, $F$11)</f>
        <v>32.897100000000002</v>
      </c>
      <c r="E944" s="12">
        <f>32.8844 * CHOOSE( CONTROL!$C$15, $D$11, 100%, $F$11)</f>
        <v>32.884399999999999</v>
      </c>
      <c r="F944" s="4">
        <f>33.5804 * CHOOSE(CONTROL!$C$15, $D$11, 100%, $F$11)</f>
        <v>33.580399999999997</v>
      </c>
      <c r="G944" s="8">
        <f>32.1136 * CHOOSE( CONTROL!$C$15, $D$11, 100%, $F$11)</f>
        <v>32.113599999999998</v>
      </c>
      <c r="H944" s="4">
        <f>33.0657 * CHOOSE(CONTROL!$C$15, $D$11, 100%, $F$11)</f>
        <v>33.0657</v>
      </c>
      <c r="I944" s="8">
        <f>31.6547 * CHOOSE(CONTROL!$C$15, $D$11, 100%, $F$11)</f>
        <v>31.654699999999998</v>
      </c>
      <c r="J944" s="4">
        <f>31.5264 * CHOOSE(CONTROL!$C$15, $D$11, 100%, $F$11)</f>
        <v>31.526399999999999</v>
      </c>
      <c r="K944" s="4"/>
      <c r="L944" s="9">
        <v>30.092199999999998</v>
      </c>
      <c r="M944" s="9">
        <v>11.6745</v>
      </c>
      <c r="N944" s="9">
        <v>4.7850000000000001</v>
      </c>
      <c r="O944" s="9">
        <v>0.36199999999999999</v>
      </c>
      <c r="P944" s="9">
        <v>1.1791</v>
      </c>
      <c r="Q944" s="9">
        <v>19.053000000000001</v>
      </c>
      <c r="R944" s="9"/>
      <c r="S944" s="11"/>
    </row>
    <row r="945" spans="1:19" ht="15.75">
      <c r="A945" s="13">
        <v>70280</v>
      </c>
      <c r="B945" s="8">
        <f>CHOOSE( CONTROL!$C$32, 33.7287, 33.7264) * CHOOSE(CONTROL!$C$15, $D$11, 100%, $F$11)</f>
        <v>33.728700000000003</v>
      </c>
      <c r="C945" s="8">
        <f>CHOOSE( CONTROL!$C$32, 33.7393, 33.737) * CHOOSE(CONTROL!$C$15, $D$11, 100%, $F$11)</f>
        <v>33.7393</v>
      </c>
      <c r="D945" s="8">
        <f>CHOOSE( CONTROL!$C$32, 33.7731, 33.7708) * CHOOSE( CONTROL!$C$15, $D$11, 100%, $F$11)</f>
        <v>33.773099999999999</v>
      </c>
      <c r="E945" s="12">
        <f>CHOOSE( CONTROL!$C$32, 33.7592, 33.7569) * CHOOSE( CONTROL!$C$15, $D$11, 100%, $F$11)</f>
        <v>33.7592</v>
      </c>
      <c r="F945" s="4">
        <f>CHOOSE( CONTROL!$C$32, 34.4577, 34.4554) * CHOOSE(CONTROL!$C$15, $D$11, 100%, $F$11)</f>
        <v>34.457700000000003</v>
      </c>
      <c r="G945" s="8">
        <f>CHOOSE( CONTROL!$C$32, 32.9718, 32.9695) * CHOOSE( CONTROL!$C$15, $D$11, 100%, $F$11)</f>
        <v>32.971800000000002</v>
      </c>
      <c r="H945" s="4">
        <f>CHOOSE( CONTROL!$C$32, 33.9233, 33.9211) * CHOOSE(CONTROL!$C$15, $D$11, 100%, $F$11)</f>
        <v>33.923299999999998</v>
      </c>
      <c r="I945" s="8">
        <f>CHOOSE( CONTROL!$C$32, 32.4975, 32.4953) * CHOOSE(CONTROL!$C$15, $D$11, 100%, $F$11)</f>
        <v>32.497500000000002</v>
      </c>
      <c r="J945" s="4">
        <f>CHOOSE( CONTROL!$C$32, 32.3686, 32.3664) * CHOOSE(CONTROL!$C$15, $D$11, 100%, $F$11)</f>
        <v>32.368600000000001</v>
      </c>
      <c r="K945" s="4"/>
      <c r="L945" s="9">
        <v>30.7165</v>
      </c>
      <c r="M945" s="9">
        <v>12.063700000000001</v>
      </c>
      <c r="N945" s="9">
        <v>4.9444999999999997</v>
      </c>
      <c r="O945" s="9">
        <v>0.37409999999999999</v>
      </c>
      <c r="P945" s="9">
        <v>1.2183999999999999</v>
      </c>
      <c r="Q945" s="9">
        <v>19.688099999999999</v>
      </c>
      <c r="R945" s="9"/>
      <c r="S945" s="11"/>
    </row>
    <row r="946" spans="1:19" ht="15.75">
      <c r="A946" s="13">
        <v>70310</v>
      </c>
      <c r="B946" s="8">
        <f>CHOOSE( CONTROL!$C$32, 33.1867, 33.1844) * CHOOSE(CONTROL!$C$15, $D$11, 100%, $F$11)</f>
        <v>33.186700000000002</v>
      </c>
      <c r="C946" s="8">
        <f>CHOOSE( CONTROL!$C$32, 33.1973, 33.195) * CHOOSE(CONTROL!$C$15, $D$11, 100%, $F$11)</f>
        <v>33.197299999999998</v>
      </c>
      <c r="D946" s="8">
        <f>CHOOSE( CONTROL!$C$32, 33.2313, 33.229) * CHOOSE( CONTROL!$C$15, $D$11, 100%, $F$11)</f>
        <v>33.231299999999997</v>
      </c>
      <c r="E946" s="12">
        <f>CHOOSE( CONTROL!$C$32, 33.2174, 33.2151) * CHOOSE( CONTROL!$C$15, $D$11, 100%, $F$11)</f>
        <v>33.217399999999998</v>
      </c>
      <c r="F946" s="4">
        <f>CHOOSE( CONTROL!$C$32, 33.9157, 33.9134) * CHOOSE(CONTROL!$C$15, $D$11, 100%, $F$11)</f>
        <v>33.915700000000001</v>
      </c>
      <c r="G946" s="8">
        <f>CHOOSE( CONTROL!$C$32, 32.4421, 32.4398) * CHOOSE( CONTROL!$C$15, $D$11, 100%, $F$11)</f>
        <v>32.442100000000003</v>
      </c>
      <c r="H946" s="4">
        <f>CHOOSE( CONTROL!$C$32, 33.3934, 33.3912) * CHOOSE(CONTROL!$C$15, $D$11, 100%, $F$11)</f>
        <v>33.3934</v>
      </c>
      <c r="I946" s="8">
        <f>CHOOSE( CONTROL!$C$32, 31.9776, 31.9754) * CHOOSE(CONTROL!$C$15, $D$11, 100%, $F$11)</f>
        <v>31.977599999999999</v>
      </c>
      <c r="J946" s="4">
        <f>CHOOSE( CONTROL!$C$32, 31.8482, 31.846) * CHOOSE(CONTROL!$C$15, $D$11, 100%, $F$11)</f>
        <v>31.848199999999999</v>
      </c>
      <c r="K946" s="4"/>
      <c r="L946" s="9">
        <v>29.7257</v>
      </c>
      <c r="M946" s="9">
        <v>11.6745</v>
      </c>
      <c r="N946" s="9">
        <v>4.7850000000000001</v>
      </c>
      <c r="O946" s="9">
        <v>0.36199999999999999</v>
      </c>
      <c r="P946" s="9">
        <v>1.1791</v>
      </c>
      <c r="Q946" s="9">
        <v>19.053000000000001</v>
      </c>
      <c r="R946" s="9"/>
      <c r="S946" s="11"/>
    </row>
    <row r="947" spans="1:19" ht="15.75">
      <c r="A947" s="13">
        <v>70341</v>
      </c>
      <c r="B947" s="8">
        <f>CHOOSE( CONTROL!$C$32, 34.614, 34.6117) * CHOOSE(CONTROL!$C$15, $D$11, 100%, $F$11)</f>
        <v>34.613999999999997</v>
      </c>
      <c r="C947" s="8">
        <f>CHOOSE( CONTROL!$C$32, 34.6246, 34.6223) * CHOOSE(CONTROL!$C$15, $D$11, 100%, $F$11)</f>
        <v>34.624600000000001</v>
      </c>
      <c r="D947" s="8">
        <f>CHOOSE( CONTROL!$C$32, 34.6588, 34.6565) * CHOOSE( CONTROL!$C$15, $D$11, 100%, $F$11)</f>
        <v>34.658799999999999</v>
      </c>
      <c r="E947" s="12">
        <f>CHOOSE( CONTROL!$C$32, 34.6448, 34.6425) * CHOOSE( CONTROL!$C$15, $D$11, 100%, $F$11)</f>
        <v>34.644799999999996</v>
      </c>
      <c r="F947" s="4">
        <f>CHOOSE( CONTROL!$C$32, 35.343, 35.3407) * CHOOSE(CONTROL!$C$15, $D$11, 100%, $F$11)</f>
        <v>35.343000000000004</v>
      </c>
      <c r="G947" s="8">
        <f>CHOOSE( CONTROL!$C$32, 33.8379, 33.8356) * CHOOSE( CONTROL!$C$15, $D$11, 100%, $F$11)</f>
        <v>33.837899999999998</v>
      </c>
      <c r="H947" s="4">
        <f>CHOOSE( CONTROL!$C$32, 34.7889, 34.7866) * CHOOSE(CONTROL!$C$15, $D$11, 100%, $F$11)</f>
        <v>34.788899999999998</v>
      </c>
      <c r="I947" s="8">
        <f>CHOOSE( CONTROL!$C$32, 33.3496, 33.3474) * CHOOSE(CONTROL!$C$15, $D$11, 100%, $F$11)</f>
        <v>33.349600000000002</v>
      </c>
      <c r="J947" s="4">
        <f>CHOOSE( CONTROL!$C$32, 33.2186, 33.2164) * CHOOSE(CONTROL!$C$15, $D$11, 100%, $F$11)</f>
        <v>33.218600000000002</v>
      </c>
      <c r="K947" s="4"/>
      <c r="L947" s="9">
        <v>30.7165</v>
      </c>
      <c r="M947" s="9">
        <v>12.063700000000001</v>
      </c>
      <c r="N947" s="9">
        <v>4.9444999999999997</v>
      </c>
      <c r="O947" s="9">
        <v>0.37409999999999999</v>
      </c>
      <c r="P947" s="9">
        <v>1.2183999999999999</v>
      </c>
      <c r="Q947" s="9">
        <v>19.688099999999999</v>
      </c>
      <c r="R947" s="9"/>
      <c r="S947" s="11"/>
    </row>
    <row r="948" spans="1:19" ht="15.75">
      <c r="A948" s="13">
        <v>70372</v>
      </c>
      <c r="B948" s="8">
        <f>CHOOSE( CONTROL!$C$32, 31.9434, 31.9411) * CHOOSE(CONTROL!$C$15, $D$11, 100%, $F$11)</f>
        <v>31.9434</v>
      </c>
      <c r="C948" s="8">
        <f>CHOOSE( CONTROL!$C$32, 31.954, 31.9517) * CHOOSE(CONTROL!$C$15, $D$11, 100%, $F$11)</f>
        <v>31.954000000000001</v>
      </c>
      <c r="D948" s="8">
        <f>CHOOSE( CONTROL!$C$32, 31.9882, 31.9859) * CHOOSE( CONTROL!$C$15, $D$11, 100%, $F$11)</f>
        <v>31.988199999999999</v>
      </c>
      <c r="E948" s="12">
        <f>CHOOSE( CONTROL!$C$32, 31.9742, 31.9719) * CHOOSE( CONTROL!$C$15, $D$11, 100%, $F$11)</f>
        <v>31.9742</v>
      </c>
      <c r="F948" s="4">
        <f>CHOOSE( CONTROL!$C$32, 32.6723, 32.67) * CHOOSE(CONTROL!$C$15, $D$11, 100%, $F$11)</f>
        <v>32.6723</v>
      </c>
      <c r="G948" s="8">
        <f>CHOOSE( CONTROL!$C$32, 31.2269, 31.2247) * CHOOSE( CONTROL!$C$15, $D$11, 100%, $F$11)</f>
        <v>31.226900000000001</v>
      </c>
      <c r="H948" s="4">
        <f>CHOOSE( CONTROL!$C$32, 32.1778, 32.1756) * CHOOSE(CONTROL!$C$15, $D$11, 100%, $F$11)</f>
        <v>32.177799999999998</v>
      </c>
      <c r="I948" s="8">
        <f>CHOOSE( CONTROL!$C$32, 30.7846, 30.7824) * CHOOSE(CONTROL!$C$15, $D$11, 100%, $F$11)</f>
        <v>30.784600000000001</v>
      </c>
      <c r="J948" s="4">
        <f>CHOOSE( CONTROL!$C$32, 30.6545, 30.6523) * CHOOSE(CONTROL!$C$15, $D$11, 100%, $F$11)</f>
        <v>30.654499999999999</v>
      </c>
      <c r="K948" s="4"/>
      <c r="L948" s="9">
        <v>30.7165</v>
      </c>
      <c r="M948" s="9">
        <v>12.063700000000001</v>
      </c>
      <c r="N948" s="9">
        <v>4.9444999999999997</v>
      </c>
      <c r="O948" s="9">
        <v>0.37409999999999999</v>
      </c>
      <c r="P948" s="9">
        <v>1.2183999999999999</v>
      </c>
      <c r="Q948" s="9">
        <v>19.688099999999999</v>
      </c>
      <c r="R948" s="9"/>
      <c r="S948" s="11"/>
    </row>
    <row r="949" spans="1:19" ht="15.75">
      <c r="A949" s="13">
        <v>70402</v>
      </c>
      <c r="B949" s="8">
        <f>CHOOSE( CONTROL!$C$32, 31.2746, 31.2723) * CHOOSE(CONTROL!$C$15, $D$11, 100%, $F$11)</f>
        <v>31.2746</v>
      </c>
      <c r="C949" s="8">
        <f>CHOOSE( CONTROL!$C$32, 31.2852, 31.2829) * CHOOSE(CONTROL!$C$15, $D$11, 100%, $F$11)</f>
        <v>31.2852</v>
      </c>
      <c r="D949" s="8">
        <f>CHOOSE( CONTROL!$C$32, 31.3194, 31.3171) * CHOOSE( CONTROL!$C$15, $D$11, 100%, $F$11)</f>
        <v>31.319400000000002</v>
      </c>
      <c r="E949" s="12">
        <f>CHOOSE( CONTROL!$C$32, 31.3054, 31.3031) * CHOOSE( CONTROL!$C$15, $D$11, 100%, $F$11)</f>
        <v>31.305399999999999</v>
      </c>
      <c r="F949" s="4">
        <f>CHOOSE( CONTROL!$C$32, 32.0036, 32.0013) * CHOOSE(CONTROL!$C$15, $D$11, 100%, $F$11)</f>
        <v>32.003599999999999</v>
      </c>
      <c r="G949" s="8">
        <f>CHOOSE( CONTROL!$C$32, 30.573, 30.5708) * CHOOSE( CONTROL!$C$15, $D$11, 100%, $F$11)</f>
        <v>30.573</v>
      </c>
      <c r="H949" s="4">
        <f>CHOOSE( CONTROL!$C$32, 31.524, 31.5217) * CHOOSE(CONTROL!$C$15, $D$11, 100%, $F$11)</f>
        <v>31.524000000000001</v>
      </c>
      <c r="I949" s="8">
        <f>CHOOSE( CONTROL!$C$32, 30.142, 30.1398) * CHOOSE(CONTROL!$C$15, $D$11, 100%, $F$11)</f>
        <v>30.141999999999999</v>
      </c>
      <c r="J949" s="4">
        <f>CHOOSE( CONTROL!$C$32, 30.0124, 30.0102) * CHOOSE(CONTROL!$C$15, $D$11, 100%, $F$11)</f>
        <v>30.0124</v>
      </c>
      <c r="K949" s="4"/>
      <c r="L949" s="9">
        <v>29.7257</v>
      </c>
      <c r="M949" s="9">
        <v>11.6745</v>
      </c>
      <c r="N949" s="9">
        <v>4.7850000000000001</v>
      </c>
      <c r="O949" s="9">
        <v>0.36199999999999999</v>
      </c>
      <c r="P949" s="9">
        <v>1.1791</v>
      </c>
      <c r="Q949" s="9">
        <v>19.053000000000001</v>
      </c>
      <c r="R949" s="9"/>
      <c r="S949" s="11"/>
    </row>
    <row r="950" spans="1:19" ht="15.75">
      <c r="A950" s="13">
        <v>70433</v>
      </c>
      <c r="B950" s="8">
        <f>32.661 * CHOOSE(CONTROL!$C$15, $D$11, 100%, $F$11)</f>
        <v>32.661000000000001</v>
      </c>
      <c r="C950" s="8">
        <f>32.6718 * CHOOSE(CONTROL!$C$15, $D$11, 100%, $F$11)</f>
        <v>32.671799999999998</v>
      </c>
      <c r="D950" s="8">
        <f>32.7072 * CHOOSE( CONTROL!$C$15, $D$11, 100%, $F$11)</f>
        <v>32.7072</v>
      </c>
      <c r="E950" s="12">
        <f>32.6944 * CHOOSE( CONTROL!$C$15, $D$11, 100%, $F$11)</f>
        <v>32.694400000000002</v>
      </c>
      <c r="F950" s="4">
        <f>33.3898 * CHOOSE(CONTROL!$C$15, $D$11, 100%, $F$11)</f>
        <v>33.389800000000001</v>
      </c>
      <c r="G950" s="8">
        <f>31.9282 * CHOOSE( CONTROL!$C$15, $D$11, 100%, $F$11)</f>
        <v>31.9282</v>
      </c>
      <c r="H950" s="4">
        <f>32.8793 * CHOOSE(CONTROL!$C$15, $D$11, 100%, $F$11)</f>
        <v>32.879300000000001</v>
      </c>
      <c r="I950" s="8">
        <f>31.4745 * CHOOSE(CONTROL!$C$15, $D$11, 100%, $F$11)</f>
        <v>31.474499999999999</v>
      </c>
      <c r="J950" s="4">
        <f>31.3434 * CHOOSE(CONTROL!$C$15, $D$11, 100%, $F$11)</f>
        <v>31.343399999999999</v>
      </c>
      <c r="K950" s="4"/>
      <c r="L950" s="9">
        <v>31.095300000000002</v>
      </c>
      <c r="M950" s="9">
        <v>12.063700000000001</v>
      </c>
      <c r="N950" s="9">
        <v>4.9444999999999997</v>
      </c>
      <c r="O950" s="9">
        <v>0.37409999999999999</v>
      </c>
      <c r="P950" s="9">
        <v>1.2183999999999999</v>
      </c>
      <c r="Q950" s="9">
        <v>19.688099999999999</v>
      </c>
      <c r="R950" s="9"/>
      <c r="S950" s="11"/>
    </row>
    <row r="951" spans="1:19" ht="15.75">
      <c r="A951" s="13">
        <v>70463</v>
      </c>
      <c r="B951" s="8">
        <f>35.224 * CHOOSE(CONTROL!$C$15, $D$11, 100%, $F$11)</f>
        <v>35.223999999999997</v>
      </c>
      <c r="C951" s="8">
        <f>35.2348 * CHOOSE(CONTROL!$C$15, $D$11, 100%, $F$11)</f>
        <v>35.2348</v>
      </c>
      <c r="D951" s="8">
        <f>35.2109 * CHOOSE( CONTROL!$C$15, $D$11, 100%, $F$11)</f>
        <v>35.210900000000002</v>
      </c>
      <c r="E951" s="12">
        <f>35.2185 * CHOOSE( CONTROL!$C$15, $D$11, 100%, $F$11)</f>
        <v>35.218499999999999</v>
      </c>
      <c r="F951" s="4">
        <f>35.8852 * CHOOSE(CONTROL!$C$15, $D$11, 100%, $F$11)</f>
        <v>35.885199999999998</v>
      </c>
      <c r="G951" s="8">
        <f>34.434 * CHOOSE( CONTROL!$C$15, $D$11, 100%, $F$11)</f>
        <v>34.433999999999997</v>
      </c>
      <c r="H951" s="4">
        <f>35.319 * CHOOSE(CONTROL!$C$15, $D$11, 100%, $F$11)</f>
        <v>35.319000000000003</v>
      </c>
      <c r="I951" s="8">
        <f>33.9798 * CHOOSE(CONTROL!$C$15, $D$11, 100%, $F$11)</f>
        <v>33.979799999999997</v>
      </c>
      <c r="J951" s="4">
        <f>33.8041 * CHOOSE(CONTROL!$C$15, $D$11, 100%, $F$11)</f>
        <v>33.804099999999998</v>
      </c>
      <c r="K951" s="4"/>
      <c r="L951" s="9">
        <v>28.360600000000002</v>
      </c>
      <c r="M951" s="9">
        <v>11.6745</v>
      </c>
      <c r="N951" s="9">
        <v>4.7850000000000001</v>
      </c>
      <c r="O951" s="9">
        <v>0.36199999999999999</v>
      </c>
      <c r="P951" s="9">
        <v>1.2509999999999999</v>
      </c>
      <c r="Q951" s="9">
        <v>19.053000000000001</v>
      </c>
      <c r="R951" s="9"/>
      <c r="S951" s="11"/>
    </row>
    <row r="952" spans="1:19" ht="15.75">
      <c r="A952" s="13">
        <v>70494</v>
      </c>
      <c r="B952" s="8">
        <f>35.16 * CHOOSE(CONTROL!$C$15, $D$11, 100%, $F$11)</f>
        <v>35.159999999999997</v>
      </c>
      <c r="C952" s="8">
        <f>35.1708 * CHOOSE(CONTROL!$C$15, $D$11, 100%, $F$11)</f>
        <v>35.1708</v>
      </c>
      <c r="D952" s="8">
        <f>35.1485 * CHOOSE( CONTROL!$C$15, $D$11, 100%, $F$11)</f>
        <v>35.148499999999999</v>
      </c>
      <c r="E952" s="12">
        <f>35.1555 * CHOOSE( CONTROL!$C$15, $D$11, 100%, $F$11)</f>
        <v>35.155500000000004</v>
      </c>
      <c r="F952" s="4">
        <f>35.8211 * CHOOSE(CONTROL!$C$15, $D$11, 100%, $F$11)</f>
        <v>35.821100000000001</v>
      </c>
      <c r="G952" s="8">
        <f>34.3726 * CHOOSE( CONTROL!$C$15, $D$11, 100%, $F$11)</f>
        <v>34.372599999999998</v>
      </c>
      <c r="H952" s="4">
        <f>35.2564 * CHOOSE(CONTROL!$C$15, $D$11, 100%, $F$11)</f>
        <v>35.256399999999999</v>
      </c>
      <c r="I952" s="8">
        <f>33.9235 * CHOOSE(CONTROL!$C$15, $D$11, 100%, $F$11)</f>
        <v>33.923499999999997</v>
      </c>
      <c r="J952" s="4">
        <f>33.7427 * CHOOSE(CONTROL!$C$15, $D$11, 100%, $F$11)</f>
        <v>33.742699999999999</v>
      </c>
      <c r="K952" s="4"/>
      <c r="L952" s="9">
        <v>29.306000000000001</v>
      </c>
      <c r="M952" s="9">
        <v>12.063700000000001</v>
      </c>
      <c r="N952" s="9">
        <v>4.9444999999999997</v>
      </c>
      <c r="O952" s="9">
        <v>0.37409999999999999</v>
      </c>
      <c r="P952" s="9">
        <v>1.2927</v>
      </c>
      <c r="Q952" s="9">
        <v>19.688099999999999</v>
      </c>
      <c r="R952" s="9"/>
      <c r="S952" s="11"/>
    </row>
    <row r="953" spans="1:19" ht="15.75">
      <c r="A953" s="13">
        <v>70525</v>
      </c>
      <c r="B953" s="8">
        <f>36.1967 * CHOOSE(CONTROL!$C$15, $D$11, 100%, $F$11)</f>
        <v>36.1967</v>
      </c>
      <c r="C953" s="8">
        <f>36.2074 * CHOOSE(CONTROL!$C$15, $D$11, 100%, $F$11)</f>
        <v>36.2074</v>
      </c>
      <c r="D953" s="8">
        <f>36.189 * CHOOSE( CONTROL!$C$15, $D$11, 100%, $F$11)</f>
        <v>36.189</v>
      </c>
      <c r="E953" s="12">
        <f>36.1946 * CHOOSE( CONTROL!$C$15, $D$11, 100%, $F$11)</f>
        <v>36.194600000000001</v>
      </c>
      <c r="F953" s="4">
        <f>36.8578 * CHOOSE(CONTROL!$C$15, $D$11, 100%, $F$11)</f>
        <v>36.857799999999997</v>
      </c>
      <c r="G953" s="8">
        <f>35.3818 * CHOOSE( CONTROL!$C$15, $D$11, 100%, $F$11)</f>
        <v>35.381799999999998</v>
      </c>
      <c r="H953" s="4">
        <f>36.2699 * CHOOSE(CONTROL!$C$15, $D$11, 100%, $F$11)</f>
        <v>36.2699</v>
      </c>
      <c r="I953" s="8">
        <f>34.8747 * CHOOSE(CONTROL!$C$15, $D$11, 100%, $F$11)</f>
        <v>34.874699999999997</v>
      </c>
      <c r="J953" s="4">
        <f>34.738 * CHOOSE(CONTROL!$C$15, $D$11, 100%, $F$11)</f>
        <v>34.738</v>
      </c>
      <c r="K953" s="4"/>
      <c r="L953" s="9">
        <v>29.306000000000001</v>
      </c>
      <c r="M953" s="9">
        <v>12.063700000000001</v>
      </c>
      <c r="N953" s="9">
        <v>4.9444999999999997</v>
      </c>
      <c r="O953" s="9">
        <v>0.37409999999999999</v>
      </c>
      <c r="P953" s="9">
        <v>1.2927</v>
      </c>
      <c r="Q953" s="9">
        <v>19.688099999999999</v>
      </c>
      <c r="R953" s="9"/>
      <c r="S953" s="11"/>
    </row>
    <row r="954" spans="1:19" ht="15.75">
      <c r="A954" s="13">
        <v>70553</v>
      </c>
      <c r="B954" s="8">
        <f>33.8576 * CHOOSE(CONTROL!$C$15, $D$11, 100%, $F$11)</f>
        <v>33.857599999999998</v>
      </c>
      <c r="C954" s="8">
        <f>33.8684 * CHOOSE(CONTROL!$C$15, $D$11, 100%, $F$11)</f>
        <v>33.868400000000001</v>
      </c>
      <c r="D954" s="8">
        <f>33.8498 * CHOOSE( CONTROL!$C$15, $D$11, 100%, $F$11)</f>
        <v>33.849800000000002</v>
      </c>
      <c r="E954" s="12">
        <f>33.8555 * CHOOSE( CONTROL!$C$15, $D$11, 100%, $F$11)</f>
        <v>33.855499999999999</v>
      </c>
      <c r="F954" s="4">
        <f>34.5187 * CHOOSE(CONTROL!$C$15, $D$11, 100%, $F$11)</f>
        <v>34.518700000000003</v>
      </c>
      <c r="G954" s="8">
        <f>33.0947 * CHOOSE( CONTROL!$C$15, $D$11, 100%, $F$11)</f>
        <v>33.094700000000003</v>
      </c>
      <c r="H954" s="4">
        <f>33.983 * CHOOSE(CONTROL!$C$15, $D$11, 100%, $F$11)</f>
        <v>33.982999999999997</v>
      </c>
      <c r="I954" s="8">
        <f>32.6273 * CHOOSE(CONTROL!$C$15, $D$11, 100%, $F$11)</f>
        <v>32.627299999999998</v>
      </c>
      <c r="J954" s="4">
        <f>32.4922 * CHOOSE(CONTROL!$C$15, $D$11, 100%, $F$11)</f>
        <v>32.492199999999997</v>
      </c>
      <c r="K954" s="4"/>
      <c r="L954" s="9">
        <v>26.469899999999999</v>
      </c>
      <c r="M954" s="9">
        <v>10.8962</v>
      </c>
      <c r="N954" s="9">
        <v>4.4660000000000002</v>
      </c>
      <c r="O954" s="9">
        <v>0.33789999999999998</v>
      </c>
      <c r="P954" s="9">
        <v>1.1676</v>
      </c>
      <c r="Q954" s="9">
        <v>17.782800000000002</v>
      </c>
      <c r="R954" s="9"/>
      <c r="S954" s="11"/>
    </row>
    <row r="955" spans="1:19" ht="15.75">
      <c r="A955" s="13">
        <v>70584</v>
      </c>
      <c r="B955" s="8">
        <f>33.1372 * CHOOSE(CONTROL!$C$15, $D$11, 100%, $F$11)</f>
        <v>33.1372</v>
      </c>
      <c r="C955" s="8">
        <f>33.1479 * CHOOSE(CONTROL!$C$15, $D$11, 100%, $F$11)</f>
        <v>33.1479</v>
      </c>
      <c r="D955" s="8">
        <f>33.1289 * CHOOSE( CONTROL!$C$15, $D$11, 100%, $F$11)</f>
        <v>33.128900000000002</v>
      </c>
      <c r="E955" s="12">
        <f>33.1347 * CHOOSE( CONTROL!$C$15, $D$11, 100%, $F$11)</f>
        <v>33.134700000000002</v>
      </c>
      <c r="F955" s="4">
        <f>33.7983 * CHOOSE(CONTROL!$C$15, $D$11, 100%, $F$11)</f>
        <v>33.798299999999998</v>
      </c>
      <c r="G955" s="8">
        <f>32.39 * CHOOSE( CONTROL!$C$15, $D$11, 100%, $F$11)</f>
        <v>32.39</v>
      </c>
      <c r="H955" s="4">
        <f>33.2787 * CHOOSE(CONTROL!$C$15, $D$11, 100%, $F$11)</f>
        <v>33.278700000000001</v>
      </c>
      <c r="I955" s="8">
        <f>31.9338 * CHOOSE(CONTROL!$C$15, $D$11, 100%, $F$11)</f>
        <v>31.933800000000002</v>
      </c>
      <c r="J955" s="4">
        <f>31.8005 * CHOOSE(CONTROL!$C$15, $D$11, 100%, $F$11)</f>
        <v>31.8005</v>
      </c>
      <c r="K955" s="4"/>
      <c r="L955" s="9">
        <v>29.306000000000001</v>
      </c>
      <c r="M955" s="9">
        <v>12.063700000000001</v>
      </c>
      <c r="N955" s="9">
        <v>4.9444999999999997</v>
      </c>
      <c r="O955" s="9">
        <v>0.37409999999999999</v>
      </c>
      <c r="P955" s="9">
        <v>1.2927</v>
      </c>
      <c r="Q955" s="9">
        <v>19.688099999999999</v>
      </c>
      <c r="R955" s="9"/>
      <c r="S955" s="11"/>
    </row>
    <row r="956" spans="1:19" ht="15.75">
      <c r="A956" s="13">
        <v>70614</v>
      </c>
      <c r="B956" s="8">
        <f>33.6405 * CHOOSE(CONTROL!$C$15, $D$11, 100%, $F$11)</f>
        <v>33.640500000000003</v>
      </c>
      <c r="C956" s="8">
        <f>33.6513 * CHOOSE(CONTROL!$C$15, $D$11, 100%, $F$11)</f>
        <v>33.651299999999999</v>
      </c>
      <c r="D956" s="8">
        <f>33.6861 * CHOOSE( CONTROL!$C$15, $D$11, 100%, $F$11)</f>
        <v>33.686100000000003</v>
      </c>
      <c r="E956" s="12">
        <f>33.6734 * CHOOSE( CONTROL!$C$15, $D$11, 100%, $F$11)</f>
        <v>33.673400000000001</v>
      </c>
      <c r="F956" s="4">
        <f>34.3694 * CHOOSE(CONTROL!$C$15, $D$11, 100%, $F$11)</f>
        <v>34.369399999999999</v>
      </c>
      <c r="G956" s="8">
        <f>32.885 * CHOOSE( CONTROL!$C$15, $D$11, 100%, $F$11)</f>
        <v>32.884999999999998</v>
      </c>
      <c r="H956" s="4">
        <f>33.837 * CHOOSE(CONTROL!$C$15, $D$11, 100%, $F$11)</f>
        <v>33.837000000000003</v>
      </c>
      <c r="I956" s="8">
        <f>32.4126 * CHOOSE(CONTROL!$C$15, $D$11, 100%, $F$11)</f>
        <v>32.412599999999998</v>
      </c>
      <c r="J956" s="4">
        <f>32.2839 * CHOOSE(CONTROL!$C$15, $D$11, 100%, $F$11)</f>
        <v>32.283900000000003</v>
      </c>
      <c r="K956" s="4"/>
      <c r="L956" s="9">
        <v>30.092199999999998</v>
      </c>
      <c r="M956" s="9">
        <v>11.6745</v>
      </c>
      <c r="N956" s="9">
        <v>4.7850000000000001</v>
      </c>
      <c r="O956" s="9">
        <v>0.36199999999999999</v>
      </c>
      <c r="P956" s="9">
        <v>1.1791</v>
      </c>
      <c r="Q956" s="9">
        <v>19.053000000000001</v>
      </c>
      <c r="R956" s="9"/>
      <c r="S956" s="11"/>
    </row>
    <row r="957" spans="1:19" ht="15.75">
      <c r="A957" s="13">
        <v>70645</v>
      </c>
      <c r="B957" s="8">
        <f>CHOOSE( CONTROL!$C$32, 34.5387, 34.5364) * CHOOSE(CONTROL!$C$15, $D$11, 100%, $F$11)</f>
        <v>34.538699999999999</v>
      </c>
      <c r="C957" s="8">
        <f>CHOOSE( CONTROL!$C$32, 34.5493, 34.547) * CHOOSE(CONTROL!$C$15, $D$11, 100%, $F$11)</f>
        <v>34.549300000000002</v>
      </c>
      <c r="D957" s="8">
        <f>CHOOSE( CONTROL!$C$32, 34.5831, 34.5808) * CHOOSE( CONTROL!$C$15, $D$11, 100%, $F$11)</f>
        <v>34.583100000000002</v>
      </c>
      <c r="E957" s="12">
        <f>CHOOSE( CONTROL!$C$32, 34.5692, 34.5669) * CHOOSE( CONTROL!$C$15, $D$11, 100%, $F$11)</f>
        <v>34.569200000000002</v>
      </c>
      <c r="F957" s="4">
        <f>CHOOSE( CONTROL!$C$32, 35.2677, 35.2654) * CHOOSE(CONTROL!$C$15, $D$11, 100%, $F$11)</f>
        <v>35.267699999999998</v>
      </c>
      <c r="G957" s="8">
        <f>CHOOSE( CONTROL!$C$32, 33.7637, 33.7614) * CHOOSE( CONTROL!$C$15, $D$11, 100%, $F$11)</f>
        <v>33.7637</v>
      </c>
      <c r="H957" s="4">
        <f>CHOOSE( CONTROL!$C$32, 34.7153, 34.713) * CHOOSE(CONTROL!$C$15, $D$11, 100%, $F$11)</f>
        <v>34.715299999999999</v>
      </c>
      <c r="I957" s="8">
        <f>CHOOSE( CONTROL!$C$32, 33.2756, 33.2734) * CHOOSE(CONTROL!$C$15, $D$11, 100%, $F$11)</f>
        <v>33.275599999999997</v>
      </c>
      <c r="J957" s="4">
        <f>CHOOSE( CONTROL!$C$32, 33.1463, 33.1441) * CHOOSE(CONTROL!$C$15, $D$11, 100%, $F$11)</f>
        <v>33.146299999999997</v>
      </c>
      <c r="K957" s="4"/>
      <c r="L957" s="9">
        <v>30.7165</v>
      </c>
      <c r="M957" s="9">
        <v>12.063700000000001</v>
      </c>
      <c r="N957" s="9">
        <v>4.9444999999999997</v>
      </c>
      <c r="O957" s="9">
        <v>0.37409999999999999</v>
      </c>
      <c r="P957" s="9">
        <v>1.2183999999999999</v>
      </c>
      <c r="Q957" s="9">
        <v>19.688099999999999</v>
      </c>
      <c r="R957" s="9"/>
      <c r="S957" s="11"/>
    </row>
    <row r="958" spans="1:19" ht="15.75">
      <c r="A958" s="13">
        <v>70675</v>
      </c>
      <c r="B958" s="8">
        <f>CHOOSE( CONTROL!$C$32, 33.9837, 33.9814) * CHOOSE(CONTROL!$C$15, $D$11, 100%, $F$11)</f>
        <v>33.983699999999999</v>
      </c>
      <c r="C958" s="8">
        <f>CHOOSE( CONTROL!$C$32, 33.9943, 33.992) * CHOOSE(CONTROL!$C$15, $D$11, 100%, $F$11)</f>
        <v>33.994300000000003</v>
      </c>
      <c r="D958" s="8">
        <f>CHOOSE( CONTROL!$C$32, 34.0283, 34.026) * CHOOSE( CONTROL!$C$15, $D$11, 100%, $F$11)</f>
        <v>34.028300000000002</v>
      </c>
      <c r="E958" s="12">
        <f>CHOOSE( CONTROL!$C$32, 34.0144, 34.0121) * CHOOSE( CONTROL!$C$15, $D$11, 100%, $F$11)</f>
        <v>34.014400000000002</v>
      </c>
      <c r="F958" s="4">
        <f>CHOOSE( CONTROL!$C$32, 34.7126, 34.7103) * CHOOSE(CONTROL!$C$15, $D$11, 100%, $F$11)</f>
        <v>34.712600000000002</v>
      </c>
      <c r="G958" s="8">
        <f>CHOOSE( CONTROL!$C$32, 33.2213, 33.219) * CHOOSE( CONTROL!$C$15, $D$11, 100%, $F$11)</f>
        <v>33.221299999999999</v>
      </c>
      <c r="H958" s="4">
        <f>CHOOSE( CONTROL!$C$32, 34.1726, 34.1704) * CHOOSE(CONTROL!$C$15, $D$11, 100%, $F$11)</f>
        <v>34.172600000000003</v>
      </c>
      <c r="I958" s="8">
        <f>CHOOSE( CONTROL!$C$32, 32.7432, 32.741) * CHOOSE(CONTROL!$C$15, $D$11, 100%, $F$11)</f>
        <v>32.743200000000002</v>
      </c>
      <c r="J958" s="4">
        <f>CHOOSE( CONTROL!$C$32, 32.6134, 32.6112) * CHOOSE(CONTROL!$C$15, $D$11, 100%, $F$11)</f>
        <v>32.613399999999999</v>
      </c>
      <c r="K958" s="4"/>
      <c r="L958" s="9">
        <v>29.7257</v>
      </c>
      <c r="M958" s="9">
        <v>11.6745</v>
      </c>
      <c r="N958" s="9">
        <v>4.7850000000000001</v>
      </c>
      <c r="O958" s="9">
        <v>0.36199999999999999</v>
      </c>
      <c r="P958" s="9">
        <v>1.1791</v>
      </c>
      <c r="Q958" s="9">
        <v>19.053000000000001</v>
      </c>
      <c r="R958" s="9"/>
      <c r="S958" s="11"/>
    </row>
    <row r="959" spans="1:19" ht="15.75">
      <c r="A959" s="13">
        <v>70706</v>
      </c>
      <c r="B959" s="8">
        <f>CHOOSE( CONTROL!$C$32, 35.4453, 35.443) * CHOOSE(CONTROL!$C$15, $D$11, 100%, $F$11)</f>
        <v>35.445300000000003</v>
      </c>
      <c r="C959" s="8">
        <f>CHOOSE( CONTROL!$C$32, 35.4559, 35.4535) * CHOOSE(CONTROL!$C$15, $D$11, 100%, $F$11)</f>
        <v>35.4559</v>
      </c>
      <c r="D959" s="8">
        <f>CHOOSE( CONTROL!$C$32, 35.4901, 35.4878) * CHOOSE( CONTROL!$C$15, $D$11, 100%, $F$11)</f>
        <v>35.490099999999998</v>
      </c>
      <c r="E959" s="12">
        <f>CHOOSE( CONTROL!$C$32, 35.4761, 35.4738) * CHOOSE( CONTROL!$C$15, $D$11, 100%, $F$11)</f>
        <v>35.476100000000002</v>
      </c>
      <c r="F959" s="4">
        <f>CHOOSE( CONTROL!$C$32, 36.1742, 36.1719) * CHOOSE(CONTROL!$C$15, $D$11, 100%, $F$11)</f>
        <v>36.174199999999999</v>
      </c>
      <c r="G959" s="8">
        <f>CHOOSE( CONTROL!$C$32, 34.6506, 34.6484) * CHOOSE( CONTROL!$C$15, $D$11, 100%, $F$11)</f>
        <v>34.650599999999997</v>
      </c>
      <c r="H959" s="4">
        <f>CHOOSE( CONTROL!$C$32, 35.6016, 35.5994) * CHOOSE(CONTROL!$C$15, $D$11, 100%, $F$11)</f>
        <v>35.601599999999998</v>
      </c>
      <c r="I959" s="8">
        <f>CHOOSE( CONTROL!$C$32, 34.1481, 34.1459) * CHOOSE(CONTROL!$C$15, $D$11, 100%, $F$11)</f>
        <v>34.148099999999999</v>
      </c>
      <c r="J959" s="4">
        <f>CHOOSE( CONTROL!$C$32, 34.0167, 34.0145) * CHOOSE(CONTROL!$C$15, $D$11, 100%, $F$11)</f>
        <v>34.0167</v>
      </c>
      <c r="K959" s="4"/>
      <c r="L959" s="9">
        <v>30.7165</v>
      </c>
      <c r="M959" s="9">
        <v>12.063700000000001</v>
      </c>
      <c r="N959" s="9">
        <v>4.9444999999999997</v>
      </c>
      <c r="O959" s="9">
        <v>0.37409999999999999</v>
      </c>
      <c r="P959" s="9">
        <v>1.2183999999999999</v>
      </c>
      <c r="Q959" s="9">
        <v>19.688099999999999</v>
      </c>
      <c r="R959" s="9"/>
      <c r="S959" s="11"/>
    </row>
    <row r="960" spans="1:19" ht="15.75">
      <c r="A960" s="13">
        <v>70737</v>
      </c>
      <c r="B960" s="8">
        <f>CHOOSE( CONTROL!$C$32, 32.7105, 32.7082) * CHOOSE(CONTROL!$C$15, $D$11, 100%, $F$11)</f>
        <v>32.710500000000003</v>
      </c>
      <c r="C960" s="8">
        <f>CHOOSE( CONTROL!$C$32, 32.7211, 32.7188) * CHOOSE(CONTROL!$C$15, $D$11, 100%, $F$11)</f>
        <v>32.7211</v>
      </c>
      <c r="D960" s="8">
        <f>CHOOSE( CONTROL!$C$32, 32.7553, 32.753) * CHOOSE( CONTROL!$C$15, $D$11, 100%, $F$11)</f>
        <v>32.755299999999998</v>
      </c>
      <c r="E960" s="12">
        <f>CHOOSE( CONTROL!$C$32, 32.7413, 32.739) * CHOOSE( CONTROL!$C$15, $D$11, 100%, $F$11)</f>
        <v>32.741300000000003</v>
      </c>
      <c r="F960" s="4">
        <f>CHOOSE( CONTROL!$C$32, 33.4394, 33.4371) * CHOOSE(CONTROL!$C$15, $D$11, 100%, $F$11)</f>
        <v>33.439399999999999</v>
      </c>
      <c r="G960" s="8">
        <f>CHOOSE( CONTROL!$C$32, 31.9769, 31.9746) * CHOOSE( CONTROL!$C$15, $D$11, 100%, $F$11)</f>
        <v>31.976900000000001</v>
      </c>
      <c r="H960" s="4">
        <f>CHOOSE( CONTROL!$C$32, 32.9278, 32.9256) * CHOOSE(CONTROL!$C$15, $D$11, 100%, $F$11)</f>
        <v>32.927799999999998</v>
      </c>
      <c r="I960" s="8">
        <f>CHOOSE( CONTROL!$C$32, 31.5214, 31.5192) * CHOOSE(CONTROL!$C$15, $D$11, 100%, $F$11)</f>
        <v>31.5214</v>
      </c>
      <c r="J960" s="4">
        <f>CHOOSE( CONTROL!$C$32, 31.391, 31.3888) * CHOOSE(CONTROL!$C$15, $D$11, 100%, $F$11)</f>
        <v>31.390999999999998</v>
      </c>
      <c r="K960" s="4"/>
      <c r="L960" s="9">
        <v>30.7165</v>
      </c>
      <c r="M960" s="9">
        <v>12.063700000000001</v>
      </c>
      <c r="N960" s="9">
        <v>4.9444999999999997</v>
      </c>
      <c r="O960" s="9">
        <v>0.37409999999999999</v>
      </c>
      <c r="P960" s="9">
        <v>1.2183999999999999</v>
      </c>
      <c r="Q960" s="9">
        <v>19.688099999999999</v>
      </c>
      <c r="R960" s="9"/>
      <c r="S960" s="11"/>
    </row>
    <row r="961" spans="1:19" ht="15.75">
      <c r="A961" s="13">
        <v>70767</v>
      </c>
      <c r="B961" s="8">
        <f>CHOOSE( CONTROL!$C$32, 32.0257, 32.0234) * CHOOSE(CONTROL!$C$15, $D$11, 100%, $F$11)</f>
        <v>32.025700000000001</v>
      </c>
      <c r="C961" s="8">
        <f>CHOOSE( CONTROL!$C$32, 32.0362, 32.0339) * CHOOSE(CONTROL!$C$15, $D$11, 100%, $F$11)</f>
        <v>32.036200000000001</v>
      </c>
      <c r="D961" s="8">
        <f>CHOOSE( CONTROL!$C$32, 32.0705, 32.0682) * CHOOSE( CONTROL!$C$15, $D$11, 100%, $F$11)</f>
        <v>32.070500000000003</v>
      </c>
      <c r="E961" s="12">
        <f>CHOOSE( CONTROL!$C$32, 32.0565, 32.0542) * CHOOSE( CONTROL!$C$15, $D$11, 100%, $F$11)</f>
        <v>32.0565</v>
      </c>
      <c r="F961" s="4">
        <f>CHOOSE( CONTROL!$C$32, 32.7546, 32.7523) * CHOOSE(CONTROL!$C$15, $D$11, 100%, $F$11)</f>
        <v>32.754600000000003</v>
      </c>
      <c r="G961" s="8">
        <f>CHOOSE( CONTROL!$C$32, 31.3073, 31.3051) * CHOOSE( CONTROL!$C$15, $D$11, 100%, $F$11)</f>
        <v>31.307300000000001</v>
      </c>
      <c r="H961" s="4">
        <f>CHOOSE( CONTROL!$C$32, 32.2583, 32.256) * CHOOSE(CONTROL!$C$15, $D$11, 100%, $F$11)</f>
        <v>32.258299999999998</v>
      </c>
      <c r="I961" s="8">
        <f>CHOOSE( CONTROL!$C$32, 30.8635, 30.8612) * CHOOSE(CONTROL!$C$15, $D$11, 100%, $F$11)</f>
        <v>30.863499999999998</v>
      </c>
      <c r="J961" s="4">
        <f>CHOOSE( CONTROL!$C$32, 30.7335, 30.7313) * CHOOSE(CONTROL!$C$15, $D$11, 100%, $F$11)</f>
        <v>30.733499999999999</v>
      </c>
      <c r="K961" s="4"/>
      <c r="L961" s="9">
        <v>29.7257</v>
      </c>
      <c r="M961" s="9">
        <v>11.6745</v>
      </c>
      <c r="N961" s="9">
        <v>4.7850000000000001</v>
      </c>
      <c r="O961" s="9">
        <v>0.36199999999999999</v>
      </c>
      <c r="P961" s="9">
        <v>1.1791</v>
      </c>
      <c r="Q961" s="9">
        <v>19.053000000000001</v>
      </c>
      <c r="R961" s="9"/>
      <c r="S961" s="11"/>
    </row>
    <row r="962" spans="1:19" ht="15.75">
      <c r="A962" s="13">
        <v>70798</v>
      </c>
      <c r="B962" s="8">
        <f>33.4454 * CHOOSE(CONTROL!$C$15, $D$11, 100%, $F$11)</f>
        <v>33.445399999999999</v>
      </c>
      <c r="C962" s="8">
        <f>33.4562 * CHOOSE(CONTROL!$C$15, $D$11, 100%, $F$11)</f>
        <v>33.456200000000003</v>
      </c>
      <c r="D962" s="8">
        <f>33.4916 * CHOOSE( CONTROL!$C$15, $D$11, 100%, $F$11)</f>
        <v>33.491599999999998</v>
      </c>
      <c r="E962" s="12">
        <f>33.4788 * CHOOSE( CONTROL!$C$15, $D$11, 100%, $F$11)</f>
        <v>33.4788</v>
      </c>
      <c r="F962" s="4">
        <f>34.1742 * CHOOSE(CONTROL!$C$15, $D$11, 100%, $F$11)</f>
        <v>34.174199999999999</v>
      </c>
      <c r="G962" s="8">
        <f>32.6951 * CHOOSE( CONTROL!$C$15, $D$11, 100%, $F$11)</f>
        <v>32.695099999999996</v>
      </c>
      <c r="H962" s="4">
        <f>33.6462 * CHOOSE(CONTROL!$C$15, $D$11, 100%, $F$11)</f>
        <v>33.6462</v>
      </c>
      <c r="I962" s="8">
        <f>32.228 * CHOOSE(CONTROL!$C$15, $D$11, 100%, $F$11)</f>
        <v>32.228000000000002</v>
      </c>
      <c r="J962" s="4">
        <f>32.0965 * CHOOSE(CONTROL!$C$15, $D$11, 100%, $F$11)</f>
        <v>32.096499999999999</v>
      </c>
      <c r="K962" s="4"/>
      <c r="L962" s="9">
        <v>31.095300000000002</v>
      </c>
      <c r="M962" s="9">
        <v>12.063700000000001</v>
      </c>
      <c r="N962" s="9">
        <v>4.9444999999999997</v>
      </c>
      <c r="O962" s="9">
        <v>0.37409999999999999</v>
      </c>
      <c r="P962" s="9">
        <v>1.2183999999999999</v>
      </c>
      <c r="Q962" s="9">
        <v>19.688099999999999</v>
      </c>
      <c r="R962" s="9"/>
      <c r="S962" s="11"/>
    </row>
    <row r="963" spans="1:19" ht="15.75">
      <c r="A963" s="13">
        <v>70828</v>
      </c>
      <c r="B963" s="8">
        <f>36.07 * CHOOSE(CONTROL!$C$15, $D$11, 100%, $F$11)</f>
        <v>36.07</v>
      </c>
      <c r="C963" s="8">
        <f>36.0808 * CHOOSE(CONTROL!$C$15, $D$11, 100%, $F$11)</f>
        <v>36.080800000000004</v>
      </c>
      <c r="D963" s="8">
        <f>36.0568 * CHOOSE( CONTROL!$C$15, $D$11, 100%, $F$11)</f>
        <v>36.056800000000003</v>
      </c>
      <c r="E963" s="12">
        <f>36.0644 * CHOOSE( CONTROL!$C$15, $D$11, 100%, $F$11)</f>
        <v>36.064399999999999</v>
      </c>
      <c r="F963" s="4">
        <f>36.7311 * CHOOSE(CONTROL!$C$15, $D$11, 100%, $F$11)</f>
        <v>36.731099999999998</v>
      </c>
      <c r="G963" s="8">
        <f>35.2611 * CHOOSE( CONTROL!$C$15, $D$11, 100%, $F$11)</f>
        <v>35.261099999999999</v>
      </c>
      <c r="H963" s="4">
        <f>36.1461 * CHOOSE(CONTROL!$C$15, $D$11, 100%, $F$11)</f>
        <v>36.146099999999997</v>
      </c>
      <c r="I963" s="8">
        <f>34.7925 * CHOOSE(CONTROL!$C$15, $D$11, 100%, $F$11)</f>
        <v>34.792499999999997</v>
      </c>
      <c r="J963" s="4">
        <f>34.6164 * CHOOSE(CONTROL!$C$15, $D$11, 100%, $F$11)</f>
        <v>34.616399999999999</v>
      </c>
      <c r="K963" s="4"/>
      <c r="L963" s="9">
        <v>28.360600000000002</v>
      </c>
      <c r="M963" s="9">
        <v>11.6745</v>
      </c>
      <c r="N963" s="9">
        <v>4.7850000000000001</v>
      </c>
      <c r="O963" s="9">
        <v>0.36199999999999999</v>
      </c>
      <c r="P963" s="9">
        <v>1.2509999999999999</v>
      </c>
      <c r="Q963" s="9">
        <v>19.053000000000001</v>
      </c>
      <c r="R963" s="9"/>
      <c r="S963" s="11"/>
    </row>
    <row r="964" spans="1:19" ht="15.75">
      <c r="A964" s="13">
        <v>70859</v>
      </c>
      <c r="B964" s="8">
        <f>36.0045 * CHOOSE(CONTROL!$C$15, $D$11, 100%, $F$11)</f>
        <v>36.0045</v>
      </c>
      <c r="C964" s="8">
        <f>36.0152 * CHOOSE(CONTROL!$C$15, $D$11, 100%, $F$11)</f>
        <v>36.0152</v>
      </c>
      <c r="D964" s="8">
        <f>35.9929 * CHOOSE( CONTROL!$C$15, $D$11, 100%, $F$11)</f>
        <v>35.992899999999999</v>
      </c>
      <c r="E964" s="12">
        <f>35.9999 * CHOOSE( CONTROL!$C$15, $D$11, 100%, $F$11)</f>
        <v>35.999899999999997</v>
      </c>
      <c r="F964" s="4">
        <f>36.6656 * CHOOSE(CONTROL!$C$15, $D$11, 100%, $F$11)</f>
        <v>36.665599999999998</v>
      </c>
      <c r="G964" s="8">
        <f>35.1982 * CHOOSE( CONTROL!$C$15, $D$11, 100%, $F$11)</f>
        <v>35.1982</v>
      </c>
      <c r="H964" s="4">
        <f>36.082 * CHOOSE(CONTROL!$C$15, $D$11, 100%, $F$11)</f>
        <v>36.082000000000001</v>
      </c>
      <c r="I964" s="8">
        <f>34.7347 * CHOOSE(CONTROL!$C$15, $D$11, 100%, $F$11)</f>
        <v>34.734699999999997</v>
      </c>
      <c r="J964" s="4">
        <f>34.5534 * CHOOSE(CONTROL!$C$15, $D$11, 100%, $F$11)</f>
        <v>34.553400000000003</v>
      </c>
      <c r="K964" s="4"/>
      <c r="L964" s="9">
        <v>29.306000000000001</v>
      </c>
      <c r="M964" s="9">
        <v>12.063700000000001</v>
      </c>
      <c r="N964" s="9">
        <v>4.9444999999999997</v>
      </c>
      <c r="O964" s="9">
        <v>0.37409999999999999</v>
      </c>
      <c r="P964" s="9">
        <v>1.2927</v>
      </c>
      <c r="Q964" s="9">
        <v>19.688099999999999</v>
      </c>
      <c r="R964" s="9"/>
      <c r="S964" s="11"/>
    </row>
    <row r="965" spans="1:19" ht="15.75">
      <c r="A965" s="13">
        <v>70890</v>
      </c>
      <c r="B965" s="8">
        <f>37.066 * CHOOSE(CONTROL!$C$15, $D$11, 100%, $F$11)</f>
        <v>37.066000000000003</v>
      </c>
      <c r="C965" s="8">
        <f>37.0768 * CHOOSE(CONTROL!$C$15, $D$11, 100%, $F$11)</f>
        <v>37.076799999999999</v>
      </c>
      <c r="D965" s="8">
        <f>37.0584 * CHOOSE( CONTROL!$C$15, $D$11, 100%, $F$11)</f>
        <v>37.058399999999999</v>
      </c>
      <c r="E965" s="12">
        <f>37.064 * CHOOSE( CONTROL!$C$15, $D$11, 100%, $F$11)</f>
        <v>37.064</v>
      </c>
      <c r="F965" s="4">
        <f>37.7271 * CHOOSE(CONTROL!$C$15, $D$11, 100%, $F$11)</f>
        <v>37.7271</v>
      </c>
      <c r="G965" s="8">
        <f>36.2317 * CHOOSE( CONTROL!$C$15, $D$11, 100%, $F$11)</f>
        <v>36.231699999999996</v>
      </c>
      <c r="H965" s="4">
        <f>37.1199 * CHOOSE(CONTROL!$C$15, $D$11, 100%, $F$11)</f>
        <v>37.119900000000001</v>
      </c>
      <c r="I965" s="8">
        <f>35.7098 * CHOOSE(CONTROL!$C$15, $D$11, 100%, $F$11)</f>
        <v>35.709800000000001</v>
      </c>
      <c r="J965" s="4">
        <f>35.5726 * CHOOSE(CONTROL!$C$15, $D$11, 100%, $F$11)</f>
        <v>35.572600000000001</v>
      </c>
      <c r="K965" s="4"/>
      <c r="L965" s="9">
        <v>29.306000000000001</v>
      </c>
      <c r="M965" s="9">
        <v>12.063700000000001</v>
      </c>
      <c r="N965" s="9">
        <v>4.9444999999999997</v>
      </c>
      <c r="O965" s="9">
        <v>0.37409999999999999</v>
      </c>
      <c r="P965" s="9">
        <v>1.2927</v>
      </c>
      <c r="Q965" s="9">
        <v>19.688099999999999</v>
      </c>
      <c r="R965" s="9"/>
      <c r="S965" s="11"/>
    </row>
    <row r="966" spans="1:19" ht="15.75">
      <c r="A966" s="13">
        <v>70918</v>
      </c>
      <c r="B966" s="8">
        <f>34.6707 * CHOOSE(CONTROL!$C$15, $D$11, 100%, $F$11)</f>
        <v>34.670699999999997</v>
      </c>
      <c r="C966" s="8">
        <f>34.6815 * CHOOSE(CONTROL!$C$15, $D$11, 100%, $F$11)</f>
        <v>34.6815</v>
      </c>
      <c r="D966" s="8">
        <f>34.6629 * CHOOSE( CONTROL!$C$15, $D$11, 100%, $F$11)</f>
        <v>34.6629</v>
      </c>
      <c r="E966" s="12">
        <f>34.6686 * CHOOSE( CONTROL!$C$15, $D$11, 100%, $F$11)</f>
        <v>34.668599999999998</v>
      </c>
      <c r="F966" s="4">
        <f>35.3318 * CHOOSE(CONTROL!$C$15, $D$11, 100%, $F$11)</f>
        <v>35.331800000000001</v>
      </c>
      <c r="G966" s="8">
        <f>33.8898 * CHOOSE( CONTROL!$C$15, $D$11, 100%, $F$11)</f>
        <v>33.889800000000001</v>
      </c>
      <c r="H966" s="4">
        <f>34.778 * CHOOSE(CONTROL!$C$15, $D$11, 100%, $F$11)</f>
        <v>34.777999999999999</v>
      </c>
      <c r="I966" s="8">
        <f>33.4084 * CHOOSE(CONTROL!$C$15, $D$11, 100%, $F$11)</f>
        <v>33.4084</v>
      </c>
      <c r="J966" s="4">
        <f>33.2729 * CHOOSE(CONTROL!$C$15, $D$11, 100%, $F$11)</f>
        <v>33.2729</v>
      </c>
      <c r="K966" s="4"/>
      <c r="L966" s="9">
        <v>26.469899999999999</v>
      </c>
      <c r="M966" s="9">
        <v>10.8962</v>
      </c>
      <c r="N966" s="9">
        <v>4.4660000000000002</v>
      </c>
      <c r="O966" s="9">
        <v>0.33789999999999998</v>
      </c>
      <c r="P966" s="9">
        <v>1.1676</v>
      </c>
      <c r="Q966" s="9">
        <v>17.782800000000002</v>
      </c>
      <c r="R966" s="9"/>
      <c r="S966" s="11"/>
    </row>
    <row r="967" spans="1:19" ht="15.75">
      <c r="A967" s="13">
        <v>70949</v>
      </c>
      <c r="B967" s="8">
        <f>33.933 * CHOOSE(CONTROL!$C$15, $D$11, 100%, $F$11)</f>
        <v>33.933</v>
      </c>
      <c r="C967" s="8">
        <f>33.9438 * CHOOSE(CONTROL!$C$15, $D$11, 100%, $F$11)</f>
        <v>33.943800000000003</v>
      </c>
      <c r="D967" s="8">
        <f>33.9247 * CHOOSE( CONTROL!$C$15, $D$11, 100%, $F$11)</f>
        <v>33.924700000000001</v>
      </c>
      <c r="E967" s="12">
        <f>33.9305 * CHOOSE( CONTROL!$C$15, $D$11, 100%, $F$11)</f>
        <v>33.930500000000002</v>
      </c>
      <c r="F967" s="4">
        <f>34.5941 * CHOOSE(CONTROL!$C$15, $D$11, 100%, $F$11)</f>
        <v>34.594099999999997</v>
      </c>
      <c r="G967" s="8">
        <f>33.1681 * CHOOSE( CONTROL!$C$15, $D$11, 100%, $F$11)</f>
        <v>33.168100000000003</v>
      </c>
      <c r="H967" s="4">
        <f>34.0567 * CHOOSE(CONTROL!$C$15, $D$11, 100%, $F$11)</f>
        <v>34.056699999999999</v>
      </c>
      <c r="I967" s="8">
        <f>32.6982 * CHOOSE(CONTROL!$C$15, $D$11, 100%, $F$11)</f>
        <v>32.6982</v>
      </c>
      <c r="J967" s="4">
        <f>32.5646 * CHOOSE(CONTROL!$C$15, $D$11, 100%, $F$11)</f>
        <v>32.564599999999999</v>
      </c>
      <c r="K967" s="4"/>
      <c r="L967" s="9">
        <v>29.306000000000001</v>
      </c>
      <c r="M967" s="9">
        <v>12.063700000000001</v>
      </c>
      <c r="N967" s="9">
        <v>4.9444999999999997</v>
      </c>
      <c r="O967" s="9">
        <v>0.37409999999999999</v>
      </c>
      <c r="P967" s="9">
        <v>1.2927</v>
      </c>
      <c r="Q967" s="9">
        <v>19.688099999999999</v>
      </c>
      <c r="R967" s="9"/>
      <c r="S967" s="11"/>
    </row>
    <row r="968" spans="1:19" ht="15.75">
      <c r="A968" s="13">
        <v>70979</v>
      </c>
      <c r="B968" s="8">
        <f>34.4485 * CHOOSE(CONTROL!$C$15, $D$11, 100%, $F$11)</f>
        <v>34.448500000000003</v>
      </c>
      <c r="C968" s="8">
        <f>34.4593 * CHOOSE(CONTROL!$C$15, $D$11, 100%, $F$11)</f>
        <v>34.459299999999999</v>
      </c>
      <c r="D968" s="8">
        <f>34.494 * CHOOSE( CONTROL!$C$15, $D$11, 100%, $F$11)</f>
        <v>34.494</v>
      </c>
      <c r="E968" s="12">
        <f>34.4813 * CHOOSE( CONTROL!$C$15, $D$11, 100%, $F$11)</f>
        <v>34.481299999999997</v>
      </c>
      <c r="F968" s="4">
        <f>35.1773 * CHOOSE(CONTROL!$C$15, $D$11, 100%, $F$11)</f>
        <v>35.177300000000002</v>
      </c>
      <c r="G968" s="8">
        <f>33.6749 * CHOOSE( CONTROL!$C$15, $D$11, 100%, $F$11)</f>
        <v>33.674900000000001</v>
      </c>
      <c r="H968" s="4">
        <f>34.627 * CHOOSE(CONTROL!$C$15, $D$11, 100%, $F$11)</f>
        <v>34.627000000000002</v>
      </c>
      <c r="I968" s="8">
        <f>33.1887 * CHOOSE(CONTROL!$C$15, $D$11, 100%, $F$11)</f>
        <v>33.188699999999997</v>
      </c>
      <c r="J968" s="4">
        <f>33.0596 * CHOOSE(CONTROL!$C$15, $D$11, 100%, $F$11)</f>
        <v>33.059600000000003</v>
      </c>
      <c r="K968" s="4"/>
      <c r="L968" s="9">
        <v>30.092199999999998</v>
      </c>
      <c r="M968" s="9">
        <v>11.6745</v>
      </c>
      <c r="N968" s="9">
        <v>4.7850000000000001</v>
      </c>
      <c r="O968" s="9">
        <v>0.36199999999999999</v>
      </c>
      <c r="P968" s="9">
        <v>1.1791</v>
      </c>
      <c r="Q968" s="9">
        <v>19.053000000000001</v>
      </c>
      <c r="R968" s="9"/>
      <c r="S968" s="11"/>
    </row>
    <row r="969" spans="1:19" ht="15.75">
      <c r="A969" s="13">
        <v>71010</v>
      </c>
      <c r="B969" s="8">
        <f>CHOOSE( CONTROL!$C$32, 35.3682, 35.3659) * CHOOSE(CONTROL!$C$15, $D$11, 100%, $F$11)</f>
        <v>35.368200000000002</v>
      </c>
      <c r="C969" s="8">
        <f>CHOOSE( CONTROL!$C$32, 35.3788, 35.3765) * CHOOSE(CONTROL!$C$15, $D$11, 100%, $F$11)</f>
        <v>35.378799999999998</v>
      </c>
      <c r="D969" s="8">
        <f>CHOOSE( CONTROL!$C$32, 35.4126, 35.4103) * CHOOSE( CONTROL!$C$15, $D$11, 100%, $F$11)</f>
        <v>35.412599999999998</v>
      </c>
      <c r="E969" s="12">
        <f>CHOOSE( CONTROL!$C$32, 35.3987, 35.3964) * CHOOSE( CONTROL!$C$15, $D$11, 100%, $F$11)</f>
        <v>35.398699999999998</v>
      </c>
      <c r="F969" s="4">
        <f>CHOOSE( CONTROL!$C$32, 36.0971, 36.0948) * CHOOSE(CONTROL!$C$15, $D$11, 100%, $F$11)</f>
        <v>36.097099999999998</v>
      </c>
      <c r="G969" s="8">
        <f>CHOOSE( CONTROL!$C$32, 34.5747, 34.5724) * CHOOSE( CONTROL!$C$15, $D$11, 100%, $F$11)</f>
        <v>34.5747</v>
      </c>
      <c r="H969" s="4">
        <f>CHOOSE( CONTROL!$C$32, 35.5262, 35.524) * CHOOSE(CONTROL!$C$15, $D$11, 100%, $F$11)</f>
        <v>35.526200000000003</v>
      </c>
      <c r="I969" s="8">
        <f>CHOOSE( CONTROL!$C$32, 34.0723, 34.0701) * CHOOSE(CONTROL!$C$15, $D$11, 100%, $F$11)</f>
        <v>34.072299999999998</v>
      </c>
      <c r="J969" s="4">
        <f>CHOOSE( CONTROL!$C$32, 33.9427, 33.9405) * CHOOSE(CONTROL!$C$15, $D$11, 100%, $F$11)</f>
        <v>33.942700000000002</v>
      </c>
      <c r="K969" s="4"/>
      <c r="L969" s="9">
        <v>30.7165</v>
      </c>
      <c r="M969" s="9">
        <v>12.063700000000001</v>
      </c>
      <c r="N969" s="9">
        <v>4.9444999999999997</v>
      </c>
      <c r="O969" s="9">
        <v>0.37409999999999999</v>
      </c>
      <c r="P969" s="9">
        <v>1.2183999999999999</v>
      </c>
      <c r="Q969" s="9">
        <v>19.688099999999999</v>
      </c>
      <c r="R969" s="9"/>
      <c r="S969" s="11"/>
    </row>
    <row r="970" spans="1:19" ht="15.75">
      <c r="A970" s="13">
        <v>71040</v>
      </c>
      <c r="B970" s="8">
        <f>CHOOSE( CONTROL!$C$32, 34.7998, 34.7975) * CHOOSE(CONTROL!$C$15, $D$11, 100%, $F$11)</f>
        <v>34.799799999999998</v>
      </c>
      <c r="C970" s="8">
        <f>CHOOSE( CONTROL!$C$32, 34.8104, 34.8081) * CHOOSE(CONTROL!$C$15, $D$11, 100%, $F$11)</f>
        <v>34.810400000000001</v>
      </c>
      <c r="D970" s="8">
        <f>CHOOSE( CONTROL!$C$32, 34.8444, 34.8421) * CHOOSE( CONTROL!$C$15, $D$11, 100%, $F$11)</f>
        <v>34.8444</v>
      </c>
      <c r="E970" s="12">
        <f>CHOOSE( CONTROL!$C$32, 34.8305, 34.8282) * CHOOSE( CONTROL!$C$15, $D$11, 100%, $F$11)</f>
        <v>34.830500000000001</v>
      </c>
      <c r="F970" s="4">
        <f>CHOOSE( CONTROL!$C$32, 35.5288, 35.5265) * CHOOSE(CONTROL!$C$15, $D$11, 100%, $F$11)</f>
        <v>35.528799999999997</v>
      </c>
      <c r="G970" s="8">
        <f>CHOOSE( CONTROL!$C$32, 34.0192, 34.017) * CHOOSE( CONTROL!$C$15, $D$11, 100%, $F$11)</f>
        <v>34.019199999999998</v>
      </c>
      <c r="H970" s="4">
        <f>CHOOSE( CONTROL!$C$32, 34.9706, 34.9683) * CHOOSE(CONTROL!$C$15, $D$11, 100%, $F$11)</f>
        <v>34.970599999999997</v>
      </c>
      <c r="I970" s="8">
        <f>CHOOSE( CONTROL!$C$32, 33.5271, 33.5249) * CHOOSE(CONTROL!$C$15, $D$11, 100%, $F$11)</f>
        <v>33.527099999999997</v>
      </c>
      <c r="J970" s="4">
        <f>CHOOSE( CONTROL!$C$32, 33.397, 33.3948) * CHOOSE(CONTROL!$C$15, $D$11, 100%, $F$11)</f>
        <v>33.396999999999998</v>
      </c>
      <c r="K970" s="4"/>
      <c r="L970" s="9">
        <v>29.7257</v>
      </c>
      <c r="M970" s="9">
        <v>11.6745</v>
      </c>
      <c r="N970" s="9">
        <v>4.7850000000000001</v>
      </c>
      <c r="O970" s="9">
        <v>0.36199999999999999</v>
      </c>
      <c r="P970" s="9">
        <v>1.1791</v>
      </c>
      <c r="Q970" s="9">
        <v>19.053000000000001</v>
      </c>
      <c r="R970" s="9"/>
      <c r="S970" s="11"/>
    </row>
    <row r="971" spans="1:19" ht="15.75">
      <c r="A971" s="13">
        <v>71071</v>
      </c>
      <c r="B971" s="8">
        <f>CHOOSE( CONTROL!$C$32, 36.2965, 36.2942) * CHOOSE(CONTROL!$C$15, $D$11, 100%, $F$11)</f>
        <v>36.296500000000002</v>
      </c>
      <c r="C971" s="8">
        <f>CHOOSE( CONTROL!$C$32, 36.3071, 36.3048) * CHOOSE(CONTROL!$C$15, $D$11, 100%, $F$11)</f>
        <v>36.307099999999998</v>
      </c>
      <c r="D971" s="8">
        <f>CHOOSE( CONTROL!$C$32, 36.3413, 36.339) * CHOOSE( CONTROL!$C$15, $D$11, 100%, $F$11)</f>
        <v>36.341299999999997</v>
      </c>
      <c r="E971" s="12">
        <f>CHOOSE( CONTROL!$C$32, 36.3273, 36.325) * CHOOSE( CONTROL!$C$15, $D$11, 100%, $F$11)</f>
        <v>36.327300000000001</v>
      </c>
      <c r="F971" s="4">
        <f>CHOOSE( CONTROL!$C$32, 37.0255, 37.0232) * CHOOSE(CONTROL!$C$15, $D$11, 100%, $F$11)</f>
        <v>37.025500000000001</v>
      </c>
      <c r="G971" s="8">
        <f>CHOOSE( CONTROL!$C$32, 35.4829, 35.4806) * CHOOSE( CONTROL!$C$15, $D$11, 100%, $F$11)</f>
        <v>35.482900000000001</v>
      </c>
      <c r="H971" s="4">
        <f>CHOOSE( CONTROL!$C$32, 36.4339, 36.4316) * CHOOSE(CONTROL!$C$15, $D$11, 100%, $F$11)</f>
        <v>36.433900000000001</v>
      </c>
      <c r="I971" s="8">
        <f>CHOOSE( CONTROL!$C$32, 34.9658, 34.9636) * CHOOSE(CONTROL!$C$15, $D$11, 100%, $F$11)</f>
        <v>34.965800000000002</v>
      </c>
      <c r="J971" s="4">
        <f>CHOOSE( CONTROL!$C$32, 34.834, 34.8318) * CHOOSE(CONTROL!$C$15, $D$11, 100%, $F$11)</f>
        <v>34.834000000000003</v>
      </c>
      <c r="K971" s="4"/>
      <c r="L971" s="9">
        <v>30.7165</v>
      </c>
      <c r="M971" s="9">
        <v>12.063700000000001</v>
      </c>
      <c r="N971" s="9">
        <v>4.9444999999999997</v>
      </c>
      <c r="O971" s="9">
        <v>0.37409999999999999</v>
      </c>
      <c r="P971" s="9">
        <v>1.2183999999999999</v>
      </c>
      <c r="Q971" s="9">
        <v>19.688099999999999</v>
      </c>
      <c r="R971" s="9"/>
      <c r="S971" s="11"/>
    </row>
    <row r="972" spans="1:19" ht="15.75">
      <c r="A972" s="13">
        <v>71102</v>
      </c>
      <c r="B972" s="8">
        <f>CHOOSE( CONTROL!$C$32, 33.496, 33.4937) * CHOOSE(CONTROL!$C$15, $D$11, 100%, $F$11)</f>
        <v>33.496000000000002</v>
      </c>
      <c r="C972" s="8">
        <f>CHOOSE( CONTROL!$C$32, 33.5066, 33.5043) * CHOOSE(CONTROL!$C$15, $D$11, 100%, $F$11)</f>
        <v>33.506599999999999</v>
      </c>
      <c r="D972" s="8">
        <f>CHOOSE( CONTROL!$C$32, 33.5409, 33.5386) * CHOOSE( CONTROL!$C$15, $D$11, 100%, $F$11)</f>
        <v>33.540900000000001</v>
      </c>
      <c r="E972" s="12">
        <f>CHOOSE( CONTROL!$C$32, 33.5269, 33.5246) * CHOOSE( CONTROL!$C$15, $D$11, 100%, $F$11)</f>
        <v>33.526899999999998</v>
      </c>
      <c r="F972" s="4">
        <f>CHOOSE( CONTROL!$C$32, 34.225, 34.2227) * CHOOSE(CONTROL!$C$15, $D$11, 100%, $F$11)</f>
        <v>34.225000000000001</v>
      </c>
      <c r="G972" s="8">
        <f>CHOOSE( CONTROL!$C$32, 32.7449, 32.7427) * CHOOSE( CONTROL!$C$15, $D$11, 100%, $F$11)</f>
        <v>32.744900000000001</v>
      </c>
      <c r="H972" s="4">
        <f>CHOOSE( CONTROL!$C$32, 33.6958, 33.6936) * CHOOSE(CONTROL!$C$15, $D$11, 100%, $F$11)</f>
        <v>33.695799999999998</v>
      </c>
      <c r="I972" s="8">
        <f>CHOOSE( CONTROL!$C$32, 32.276, 32.2738) * CHOOSE(CONTROL!$C$15, $D$11, 100%, $F$11)</f>
        <v>32.276000000000003</v>
      </c>
      <c r="J972" s="4">
        <f>CHOOSE( CONTROL!$C$32, 32.1452, 32.143) * CHOOSE(CONTROL!$C$15, $D$11, 100%, $F$11)</f>
        <v>32.145200000000003</v>
      </c>
      <c r="K972" s="4"/>
      <c r="L972" s="9">
        <v>30.7165</v>
      </c>
      <c r="M972" s="9">
        <v>12.063700000000001</v>
      </c>
      <c r="N972" s="9">
        <v>4.9444999999999997</v>
      </c>
      <c r="O972" s="9">
        <v>0.37409999999999999</v>
      </c>
      <c r="P972" s="9">
        <v>1.2183999999999999</v>
      </c>
      <c r="Q972" s="9">
        <v>19.688099999999999</v>
      </c>
      <c r="R972" s="9"/>
      <c r="S972" s="11"/>
    </row>
    <row r="973" spans="1:19" ht="15.75">
      <c r="A973" s="13">
        <v>71132</v>
      </c>
      <c r="B973" s="8">
        <f>CHOOSE( CONTROL!$C$32, 32.7948, 32.7925) * CHOOSE(CONTROL!$C$15, $D$11, 100%, $F$11)</f>
        <v>32.794800000000002</v>
      </c>
      <c r="C973" s="8">
        <f>CHOOSE( CONTROL!$C$32, 32.8053, 32.803) * CHOOSE(CONTROL!$C$15, $D$11, 100%, $F$11)</f>
        <v>32.805300000000003</v>
      </c>
      <c r="D973" s="8">
        <f>CHOOSE( CONTROL!$C$32, 32.8396, 32.8373) * CHOOSE( CONTROL!$C$15, $D$11, 100%, $F$11)</f>
        <v>32.839599999999997</v>
      </c>
      <c r="E973" s="12">
        <f>CHOOSE( CONTROL!$C$32, 32.8256, 32.8233) * CHOOSE( CONTROL!$C$15, $D$11, 100%, $F$11)</f>
        <v>32.825600000000001</v>
      </c>
      <c r="F973" s="4">
        <f>CHOOSE( CONTROL!$C$32, 33.5237, 33.5214) * CHOOSE(CONTROL!$C$15, $D$11, 100%, $F$11)</f>
        <v>33.523699999999998</v>
      </c>
      <c r="G973" s="8">
        <f>CHOOSE( CONTROL!$C$32, 32.0592, 32.057) * CHOOSE( CONTROL!$C$15, $D$11, 100%, $F$11)</f>
        <v>32.059199999999997</v>
      </c>
      <c r="H973" s="4">
        <f>CHOOSE( CONTROL!$C$32, 33.0102, 33.008) * CHOOSE(CONTROL!$C$15, $D$11, 100%, $F$11)</f>
        <v>33.010199999999998</v>
      </c>
      <c r="I973" s="8">
        <f>CHOOSE( CONTROL!$C$32, 31.6022, 31.6) * CHOOSE(CONTROL!$C$15, $D$11, 100%, $F$11)</f>
        <v>31.6022</v>
      </c>
      <c r="J973" s="4">
        <f>CHOOSE( CONTROL!$C$32, 31.4719, 31.4697) * CHOOSE(CONTROL!$C$15, $D$11, 100%, $F$11)</f>
        <v>31.471900000000002</v>
      </c>
      <c r="K973" s="4"/>
      <c r="L973" s="9">
        <v>29.7257</v>
      </c>
      <c r="M973" s="9">
        <v>11.6745</v>
      </c>
      <c r="N973" s="9">
        <v>4.7850000000000001</v>
      </c>
      <c r="O973" s="9">
        <v>0.36199999999999999</v>
      </c>
      <c r="P973" s="9">
        <v>1.1791</v>
      </c>
      <c r="Q973" s="9">
        <v>19.053000000000001</v>
      </c>
      <c r="R973" s="9"/>
      <c r="S973" s="11"/>
    </row>
    <row r="974" spans="1:19" ht="15.75">
      <c r="A974" s="13">
        <v>71163</v>
      </c>
      <c r="B974" s="8">
        <f>34.2487 * CHOOSE(CONTROL!$C$15, $D$11, 100%, $F$11)</f>
        <v>34.248699999999999</v>
      </c>
      <c r="C974" s="8">
        <f>34.2594 * CHOOSE(CONTROL!$C$15, $D$11, 100%, $F$11)</f>
        <v>34.259399999999999</v>
      </c>
      <c r="D974" s="8">
        <f>34.2948 * CHOOSE( CONTROL!$C$15, $D$11, 100%, $F$11)</f>
        <v>34.294800000000002</v>
      </c>
      <c r="E974" s="12">
        <f>34.282 * CHOOSE( CONTROL!$C$15, $D$11, 100%, $F$11)</f>
        <v>34.281999999999996</v>
      </c>
      <c r="F974" s="4">
        <f>34.9775 * CHOOSE(CONTROL!$C$15, $D$11, 100%, $F$11)</f>
        <v>34.977499999999999</v>
      </c>
      <c r="G974" s="8">
        <f>33.4804 * CHOOSE( CONTROL!$C$15, $D$11, 100%, $F$11)</f>
        <v>33.480400000000003</v>
      </c>
      <c r="H974" s="4">
        <f>34.4316 * CHOOSE(CONTROL!$C$15, $D$11, 100%, $F$11)</f>
        <v>34.431600000000003</v>
      </c>
      <c r="I974" s="8">
        <f>32.9996 * CHOOSE(CONTROL!$C$15, $D$11, 100%, $F$11)</f>
        <v>32.999600000000001</v>
      </c>
      <c r="J974" s="4">
        <f>32.8677 * CHOOSE(CONTROL!$C$15, $D$11, 100%, $F$11)</f>
        <v>32.867699999999999</v>
      </c>
      <c r="K974" s="4"/>
      <c r="L974" s="9">
        <v>31.095300000000002</v>
      </c>
      <c r="M974" s="9">
        <v>12.063700000000001</v>
      </c>
      <c r="N974" s="9">
        <v>4.9444999999999997</v>
      </c>
      <c r="O974" s="9">
        <v>0.37409999999999999</v>
      </c>
      <c r="P974" s="9">
        <v>1.2183999999999999</v>
      </c>
      <c r="Q974" s="9">
        <v>19.688099999999999</v>
      </c>
      <c r="R974" s="9"/>
      <c r="S974" s="11"/>
    </row>
    <row r="975" spans="1:19" ht="15.75">
      <c r="A975" s="13">
        <v>71193</v>
      </c>
      <c r="B975" s="8">
        <f>36.9363 * CHOOSE(CONTROL!$C$15, $D$11, 100%, $F$11)</f>
        <v>36.936300000000003</v>
      </c>
      <c r="C975" s="8">
        <f>36.9471 * CHOOSE(CONTROL!$C$15, $D$11, 100%, $F$11)</f>
        <v>36.947099999999999</v>
      </c>
      <c r="D975" s="8">
        <f>36.9231 * CHOOSE( CONTROL!$C$15, $D$11, 100%, $F$11)</f>
        <v>36.923099999999998</v>
      </c>
      <c r="E975" s="12">
        <f>36.9307 * CHOOSE( CONTROL!$C$15, $D$11, 100%, $F$11)</f>
        <v>36.930700000000002</v>
      </c>
      <c r="F975" s="4">
        <f>37.5974 * CHOOSE(CONTROL!$C$15, $D$11, 100%, $F$11)</f>
        <v>37.5974</v>
      </c>
      <c r="G975" s="8">
        <f>36.1081 * CHOOSE( CONTROL!$C$15, $D$11, 100%, $F$11)</f>
        <v>36.1081</v>
      </c>
      <c r="H975" s="4">
        <f>36.9931 * CHOOSE(CONTROL!$C$15, $D$11, 100%, $F$11)</f>
        <v>36.993099999999998</v>
      </c>
      <c r="I975" s="8">
        <f>35.6246 * CHOOSE(CONTROL!$C$15, $D$11, 100%, $F$11)</f>
        <v>35.624600000000001</v>
      </c>
      <c r="J975" s="4">
        <f>35.4481 * CHOOSE(CONTROL!$C$15, $D$11, 100%, $F$11)</f>
        <v>35.448099999999997</v>
      </c>
      <c r="K975" s="4"/>
      <c r="L975" s="9">
        <v>28.360600000000002</v>
      </c>
      <c r="M975" s="9">
        <v>11.6745</v>
      </c>
      <c r="N975" s="9">
        <v>4.7850000000000001</v>
      </c>
      <c r="O975" s="9">
        <v>0.36199999999999999</v>
      </c>
      <c r="P975" s="9">
        <v>1.2509999999999999</v>
      </c>
      <c r="Q975" s="9">
        <v>19.053000000000001</v>
      </c>
      <c r="R975" s="9"/>
      <c r="S975" s="11"/>
    </row>
    <row r="976" spans="1:19" ht="15.75">
      <c r="A976" s="13">
        <v>71224</v>
      </c>
      <c r="B976" s="8">
        <f>36.8692 * CHOOSE(CONTROL!$C$15, $D$11, 100%, $F$11)</f>
        <v>36.869199999999999</v>
      </c>
      <c r="C976" s="8">
        <f>36.8799 * CHOOSE(CONTROL!$C$15, $D$11, 100%, $F$11)</f>
        <v>36.879899999999999</v>
      </c>
      <c r="D976" s="8">
        <f>36.8577 * CHOOSE( CONTROL!$C$15, $D$11, 100%, $F$11)</f>
        <v>36.857700000000001</v>
      </c>
      <c r="E976" s="12">
        <f>36.8647 * CHOOSE( CONTROL!$C$15, $D$11, 100%, $F$11)</f>
        <v>36.864699999999999</v>
      </c>
      <c r="F976" s="4">
        <f>37.5303 * CHOOSE(CONTROL!$C$15, $D$11, 100%, $F$11)</f>
        <v>37.530299999999997</v>
      </c>
      <c r="G976" s="8">
        <f>36.0437 * CHOOSE( CONTROL!$C$15, $D$11, 100%, $F$11)</f>
        <v>36.043700000000001</v>
      </c>
      <c r="H976" s="4">
        <f>36.9274 * CHOOSE(CONTROL!$C$15, $D$11, 100%, $F$11)</f>
        <v>36.927399999999999</v>
      </c>
      <c r="I976" s="8">
        <f>35.5653 * CHOOSE(CONTROL!$C$15, $D$11, 100%, $F$11)</f>
        <v>35.565300000000001</v>
      </c>
      <c r="J976" s="4">
        <f>35.3836 * CHOOSE(CONTROL!$C$15, $D$11, 100%, $F$11)</f>
        <v>35.383600000000001</v>
      </c>
      <c r="K976" s="4"/>
      <c r="L976" s="9">
        <v>29.306000000000001</v>
      </c>
      <c r="M976" s="9">
        <v>12.063700000000001</v>
      </c>
      <c r="N976" s="9">
        <v>4.9444999999999997</v>
      </c>
      <c r="O976" s="9">
        <v>0.37409999999999999</v>
      </c>
      <c r="P976" s="9">
        <v>1.2927</v>
      </c>
      <c r="Q976" s="9">
        <v>19.688099999999999</v>
      </c>
      <c r="R976" s="9"/>
      <c r="S976" s="11"/>
    </row>
    <row r="977" spans="1:19" ht="15.75">
      <c r="A977" s="13">
        <v>71255</v>
      </c>
      <c r="B977" s="8">
        <f>37.9563 * CHOOSE(CONTROL!$C$15, $D$11, 100%, $F$11)</f>
        <v>37.956299999999999</v>
      </c>
      <c r="C977" s="8">
        <f>37.967 * CHOOSE(CONTROL!$C$15, $D$11, 100%, $F$11)</f>
        <v>37.966999999999999</v>
      </c>
      <c r="D977" s="8">
        <f>37.9486 * CHOOSE( CONTROL!$C$15, $D$11, 100%, $F$11)</f>
        <v>37.948599999999999</v>
      </c>
      <c r="E977" s="12">
        <f>37.9542 * CHOOSE( CONTROL!$C$15, $D$11, 100%, $F$11)</f>
        <v>37.9542</v>
      </c>
      <c r="F977" s="4">
        <f>38.6174 * CHOOSE(CONTROL!$C$15, $D$11, 100%, $F$11)</f>
        <v>38.617400000000004</v>
      </c>
      <c r="G977" s="8">
        <f>37.1021 * CHOOSE( CONTROL!$C$15, $D$11, 100%, $F$11)</f>
        <v>37.1021</v>
      </c>
      <c r="H977" s="4">
        <f>37.9903 * CHOOSE(CONTROL!$C$15, $D$11, 100%, $F$11)</f>
        <v>37.990299999999998</v>
      </c>
      <c r="I977" s="8">
        <f>36.5649 * CHOOSE(CONTROL!$C$15, $D$11, 100%, $F$11)</f>
        <v>36.564900000000002</v>
      </c>
      <c r="J977" s="4">
        <f>36.4273 * CHOOSE(CONTROL!$C$15, $D$11, 100%, $F$11)</f>
        <v>36.427300000000002</v>
      </c>
      <c r="K977" s="4"/>
      <c r="L977" s="9">
        <v>29.306000000000001</v>
      </c>
      <c r="M977" s="9">
        <v>12.063700000000001</v>
      </c>
      <c r="N977" s="9">
        <v>4.9444999999999997</v>
      </c>
      <c r="O977" s="9">
        <v>0.37409999999999999</v>
      </c>
      <c r="P977" s="9">
        <v>1.2927</v>
      </c>
      <c r="Q977" s="9">
        <v>19.688099999999999</v>
      </c>
      <c r="R977" s="9"/>
      <c r="S977" s="11"/>
    </row>
    <row r="978" spans="1:19" ht="15.75">
      <c r="A978" s="13">
        <v>71283</v>
      </c>
      <c r="B978" s="8">
        <f>35.5034 * CHOOSE(CONTROL!$C$15, $D$11, 100%, $F$11)</f>
        <v>35.503399999999999</v>
      </c>
      <c r="C978" s="8">
        <f>35.5142 * CHOOSE(CONTROL!$C$15, $D$11, 100%, $F$11)</f>
        <v>35.514200000000002</v>
      </c>
      <c r="D978" s="8">
        <f>35.4956 * CHOOSE( CONTROL!$C$15, $D$11, 100%, $F$11)</f>
        <v>35.495600000000003</v>
      </c>
      <c r="E978" s="12">
        <f>35.5013 * CHOOSE( CONTROL!$C$15, $D$11, 100%, $F$11)</f>
        <v>35.501300000000001</v>
      </c>
      <c r="F978" s="4">
        <f>36.1645 * CHOOSE(CONTROL!$C$15, $D$11, 100%, $F$11)</f>
        <v>36.164499999999997</v>
      </c>
      <c r="G978" s="8">
        <f>34.7039 * CHOOSE( CONTROL!$C$15, $D$11, 100%, $F$11)</f>
        <v>34.703899999999997</v>
      </c>
      <c r="H978" s="4">
        <f>35.5921 * CHOOSE(CONTROL!$C$15, $D$11, 100%, $F$11)</f>
        <v>35.592100000000002</v>
      </c>
      <c r="I978" s="8">
        <f>34.2083 * CHOOSE(CONTROL!$C$15, $D$11, 100%, $F$11)</f>
        <v>34.208300000000001</v>
      </c>
      <c r="J978" s="4">
        <f>34.0724 * CHOOSE(CONTROL!$C$15, $D$11, 100%, $F$11)</f>
        <v>34.072400000000002</v>
      </c>
      <c r="K978" s="4"/>
      <c r="L978" s="9">
        <v>26.469899999999999</v>
      </c>
      <c r="M978" s="9">
        <v>10.8962</v>
      </c>
      <c r="N978" s="9">
        <v>4.4660000000000002</v>
      </c>
      <c r="O978" s="9">
        <v>0.33789999999999998</v>
      </c>
      <c r="P978" s="9">
        <v>1.1676</v>
      </c>
      <c r="Q978" s="9">
        <v>17.782800000000002</v>
      </c>
      <c r="R978" s="9"/>
      <c r="S978" s="11"/>
    </row>
    <row r="979" spans="1:19" ht="15.75">
      <c r="A979" s="13">
        <v>71314</v>
      </c>
      <c r="B979" s="8">
        <f>34.748 * CHOOSE(CONTROL!$C$15, $D$11, 100%, $F$11)</f>
        <v>34.747999999999998</v>
      </c>
      <c r="C979" s="8">
        <f>34.7587 * CHOOSE(CONTROL!$C$15, $D$11, 100%, $F$11)</f>
        <v>34.758699999999997</v>
      </c>
      <c r="D979" s="8">
        <f>34.7397 * CHOOSE( CONTROL!$C$15, $D$11, 100%, $F$11)</f>
        <v>34.739699999999999</v>
      </c>
      <c r="E979" s="12">
        <f>34.7455 * CHOOSE( CONTROL!$C$15, $D$11, 100%, $F$11)</f>
        <v>34.7455</v>
      </c>
      <c r="F979" s="4">
        <f>35.4091 * CHOOSE(CONTROL!$C$15, $D$11, 100%, $F$11)</f>
        <v>35.409100000000002</v>
      </c>
      <c r="G979" s="8">
        <f>33.9649 * CHOOSE( CONTROL!$C$15, $D$11, 100%, $F$11)</f>
        <v>33.9649</v>
      </c>
      <c r="H979" s="4">
        <f>34.8535 * CHOOSE(CONTROL!$C$15, $D$11, 100%, $F$11)</f>
        <v>34.853499999999997</v>
      </c>
      <c r="I979" s="8">
        <f>33.4811 * CHOOSE(CONTROL!$C$15, $D$11, 100%, $F$11)</f>
        <v>33.481099999999998</v>
      </c>
      <c r="J979" s="4">
        <f>33.3471 * CHOOSE(CONTROL!$C$15, $D$11, 100%, $F$11)</f>
        <v>33.347099999999998</v>
      </c>
      <c r="K979" s="4"/>
      <c r="L979" s="9">
        <v>29.306000000000001</v>
      </c>
      <c r="M979" s="9">
        <v>12.063700000000001</v>
      </c>
      <c r="N979" s="9">
        <v>4.9444999999999997</v>
      </c>
      <c r="O979" s="9">
        <v>0.37409999999999999</v>
      </c>
      <c r="P979" s="9">
        <v>1.2927</v>
      </c>
      <c r="Q979" s="9">
        <v>19.688099999999999</v>
      </c>
      <c r="R979" s="9"/>
      <c r="S979" s="11"/>
    </row>
    <row r="980" spans="1:19" ht="15.75">
      <c r="A980" s="13">
        <v>71344</v>
      </c>
      <c r="B980" s="8">
        <f>35.2758 * CHOOSE(CONTROL!$C$15, $D$11, 100%, $F$11)</f>
        <v>35.275799999999997</v>
      </c>
      <c r="C980" s="8">
        <f>35.2866 * CHOOSE(CONTROL!$C$15, $D$11, 100%, $F$11)</f>
        <v>35.2866</v>
      </c>
      <c r="D980" s="8">
        <f>35.3214 * CHOOSE( CONTROL!$C$15, $D$11, 100%, $F$11)</f>
        <v>35.321399999999997</v>
      </c>
      <c r="E980" s="12">
        <f>35.3087 * CHOOSE( CONTROL!$C$15, $D$11, 100%, $F$11)</f>
        <v>35.308700000000002</v>
      </c>
      <c r="F980" s="4">
        <f>36.0047 * CHOOSE(CONTROL!$C$15, $D$11, 100%, $F$11)</f>
        <v>36.0047</v>
      </c>
      <c r="G980" s="8">
        <f>34.4838 * CHOOSE( CONTROL!$C$15, $D$11, 100%, $F$11)</f>
        <v>34.483800000000002</v>
      </c>
      <c r="H980" s="4">
        <f>35.4359 * CHOOSE(CONTROL!$C$15, $D$11, 100%, $F$11)</f>
        <v>35.435899999999997</v>
      </c>
      <c r="I980" s="8">
        <f>33.9834 * CHOOSE(CONTROL!$C$15, $D$11, 100%, $F$11)</f>
        <v>33.983400000000003</v>
      </c>
      <c r="J980" s="4">
        <f>33.8539 * CHOOSE(CONTROL!$C$15, $D$11, 100%, $F$11)</f>
        <v>33.853900000000003</v>
      </c>
      <c r="K980" s="4"/>
      <c r="L980" s="9">
        <v>30.092199999999998</v>
      </c>
      <c r="M980" s="9">
        <v>11.6745</v>
      </c>
      <c r="N980" s="9">
        <v>4.7850000000000001</v>
      </c>
      <c r="O980" s="9">
        <v>0.36199999999999999</v>
      </c>
      <c r="P980" s="9">
        <v>1.1791</v>
      </c>
      <c r="Q980" s="9">
        <v>19.053000000000001</v>
      </c>
      <c r="R980" s="9"/>
      <c r="S980" s="11"/>
    </row>
    <row r="981" spans="1:19" ht="15.75">
      <c r="A981" s="13">
        <v>71375</v>
      </c>
      <c r="B981" s="8">
        <f>CHOOSE( CONTROL!$C$32, 36.2176, 36.2153) * CHOOSE(CONTROL!$C$15, $D$11, 100%, $F$11)</f>
        <v>36.217599999999997</v>
      </c>
      <c r="C981" s="8">
        <f>CHOOSE( CONTROL!$C$32, 36.2281, 36.2258) * CHOOSE(CONTROL!$C$15, $D$11, 100%, $F$11)</f>
        <v>36.228099999999998</v>
      </c>
      <c r="D981" s="8">
        <f>CHOOSE( CONTROL!$C$32, 36.262, 36.2597) * CHOOSE( CONTROL!$C$15, $D$11, 100%, $F$11)</f>
        <v>36.262</v>
      </c>
      <c r="E981" s="12">
        <f>CHOOSE( CONTROL!$C$32, 36.2481, 36.2458) * CHOOSE( CONTROL!$C$15, $D$11, 100%, $F$11)</f>
        <v>36.248100000000001</v>
      </c>
      <c r="F981" s="4">
        <f>CHOOSE( CONTROL!$C$32, 36.9465, 36.9442) * CHOOSE(CONTROL!$C$15, $D$11, 100%, $F$11)</f>
        <v>36.9465</v>
      </c>
      <c r="G981" s="8">
        <f>CHOOSE( CONTROL!$C$32, 35.4051, 35.4029) * CHOOSE( CONTROL!$C$15, $D$11, 100%, $F$11)</f>
        <v>35.405099999999997</v>
      </c>
      <c r="H981" s="4">
        <f>CHOOSE( CONTROL!$C$32, 36.3567, 36.3544) * CHOOSE(CONTROL!$C$15, $D$11, 100%, $F$11)</f>
        <v>36.356699999999996</v>
      </c>
      <c r="I981" s="8">
        <f>CHOOSE( CONTROL!$C$32, 34.8882, 34.886) * CHOOSE(CONTROL!$C$15, $D$11, 100%, $F$11)</f>
        <v>34.888199999999998</v>
      </c>
      <c r="J981" s="4">
        <f>CHOOSE( CONTROL!$C$32, 34.7582, 34.756) * CHOOSE(CONTROL!$C$15, $D$11, 100%, $F$11)</f>
        <v>34.758200000000002</v>
      </c>
      <c r="K981" s="4"/>
      <c r="L981" s="9">
        <v>30.7165</v>
      </c>
      <c r="M981" s="9">
        <v>12.063700000000001</v>
      </c>
      <c r="N981" s="9">
        <v>4.9444999999999997</v>
      </c>
      <c r="O981" s="9">
        <v>0.37409999999999999</v>
      </c>
      <c r="P981" s="9">
        <v>1.2183999999999999</v>
      </c>
      <c r="Q981" s="9">
        <v>19.688099999999999</v>
      </c>
      <c r="R981" s="9"/>
      <c r="S981" s="11"/>
    </row>
    <row r="982" spans="1:19" ht="15.75">
      <c r="A982" s="13">
        <v>71405</v>
      </c>
      <c r="B982" s="8">
        <f>CHOOSE( CONTROL!$C$32, 35.6356, 35.6333) * CHOOSE(CONTROL!$C$15, $D$11, 100%, $F$11)</f>
        <v>35.635599999999997</v>
      </c>
      <c r="C982" s="8">
        <f>CHOOSE( CONTROL!$C$32, 35.6461, 35.6438) * CHOOSE(CONTROL!$C$15, $D$11, 100%, $F$11)</f>
        <v>35.646099999999997</v>
      </c>
      <c r="D982" s="8">
        <f>CHOOSE( CONTROL!$C$32, 35.6801, 35.6778) * CHOOSE( CONTROL!$C$15, $D$11, 100%, $F$11)</f>
        <v>35.680100000000003</v>
      </c>
      <c r="E982" s="12">
        <f>CHOOSE( CONTROL!$C$32, 35.6662, 35.6639) * CHOOSE( CONTROL!$C$15, $D$11, 100%, $F$11)</f>
        <v>35.666200000000003</v>
      </c>
      <c r="F982" s="4">
        <f>CHOOSE( CONTROL!$C$32, 36.3645, 36.3622) * CHOOSE(CONTROL!$C$15, $D$11, 100%, $F$11)</f>
        <v>36.3645</v>
      </c>
      <c r="G982" s="8">
        <f>CHOOSE( CONTROL!$C$32, 34.8363, 34.8341) * CHOOSE( CONTROL!$C$15, $D$11, 100%, $F$11)</f>
        <v>34.836300000000001</v>
      </c>
      <c r="H982" s="4">
        <f>CHOOSE( CONTROL!$C$32, 35.7877, 35.7854) * CHOOSE(CONTROL!$C$15, $D$11, 100%, $F$11)</f>
        <v>35.787700000000001</v>
      </c>
      <c r="I982" s="8">
        <f>CHOOSE( CONTROL!$C$32, 34.3299, 34.3277) * CHOOSE(CONTROL!$C$15, $D$11, 100%, $F$11)</f>
        <v>34.329900000000002</v>
      </c>
      <c r="J982" s="4">
        <f>CHOOSE( CONTROL!$C$32, 34.1994, 34.1972) * CHOOSE(CONTROL!$C$15, $D$11, 100%, $F$11)</f>
        <v>34.199399999999997</v>
      </c>
      <c r="K982" s="4"/>
      <c r="L982" s="9">
        <v>29.7257</v>
      </c>
      <c r="M982" s="9">
        <v>11.6745</v>
      </c>
      <c r="N982" s="9">
        <v>4.7850000000000001</v>
      </c>
      <c r="O982" s="9">
        <v>0.36199999999999999</v>
      </c>
      <c r="P982" s="9">
        <v>1.1791</v>
      </c>
      <c r="Q982" s="9">
        <v>19.053000000000001</v>
      </c>
      <c r="R982" s="9"/>
      <c r="S982" s="11"/>
    </row>
    <row r="983" spans="1:19" ht="15.75">
      <c r="A983" s="13">
        <v>71436</v>
      </c>
      <c r="B983" s="8">
        <f>CHOOSE( CONTROL!$C$32, 37.1682, 37.1659) * CHOOSE(CONTROL!$C$15, $D$11, 100%, $F$11)</f>
        <v>37.168199999999999</v>
      </c>
      <c r="C983" s="8">
        <f>CHOOSE( CONTROL!$C$32, 37.1788, 37.1765) * CHOOSE(CONTROL!$C$15, $D$11, 100%, $F$11)</f>
        <v>37.178800000000003</v>
      </c>
      <c r="D983" s="8">
        <f>CHOOSE( CONTROL!$C$32, 37.213, 37.2107) * CHOOSE( CONTROL!$C$15, $D$11, 100%, $F$11)</f>
        <v>37.213000000000001</v>
      </c>
      <c r="E983" s="12">
        <f>CHOOSE( CONTROL!$C$32, 37.199, 37.1967) * CHOOSE( CONTROL!$C$15, $D$11, 100%, $F$11)</f>
        <v>37.198999999999998</v>
      </c>
      <c r="F983" s="4">
        <f>CHOOSE( CONTROL!$C$32, 37.8972, 37.8949) * CHOOSE(CONTROL!$C$15, $D$11, 100%, $F$11)</f>
        <v>37.897199999999998</v>
      </c>
      <c r="G983" s="8">
        <f>CHOOSE( CONTROL!$C$32, 36.3351, 36.3329) * CHOOSE( CONTROL!$C$15, $D$11, 100%, $F$11)</f>
        <v>36.335099999999997</v>
      </c>
      <c r="H983" s="4">
        <f>CHOOSE( CONTROL!$C$32, 37.2861, 37.2839) * CHOOSE(CONTROL!$C$15, $D$11, 100%, $F$11)</f>
        <v>37.286099999999998</v>
      </c>
      <c r="I983" s="8">
        <f>CHOOSE( CONTROL!$C$32, 35.8031, 35.8009) * CHOOSE(CONTROL!$C$15, $D$11, 100%, $F$11)</f>
        <v>35.803100000000001</v>
      </c>
      <c r="J983" s="4">
        <f>CHOOSE( CONTROL!$C$32, 35.6709, 35.6687) * CHOOSE(CONTROL!$C$15, $D$11, 100%, $F$11)</f>
        <v>35.670900000000003</v>
      </c>
      <c r="K983" s="4"/>
      <c r="L983" s="9">
        <v>30.7165</v>
      </c>
      <c r="M983" s="9">
        <v>12.063700000000001</v>
      </c>
      <c r="N983" s="9">
        <v>4.9444999999999997</v>
      </c>
      <c r="O983" s="9">
        <v>0.37409999999999999</v>
      </c>
      <c r="P983" s="9">
        <v>1.2183999999999999</v>
      </c>
      <c r="Q983" s="9">
        <v>19.688099999999999</v>
      </c>
      <c r="R983" s="9"/>
      <c r="S983" s="11"/>
    </row>
    <row r="984" spans="1:19" ht="15.75">
      <c r="A984" s="13">
        <v>71467</v>
      </c>
      <c r="B984" s="8">
        <f>CHOOSE( CONTROL!$C$32, 34.3004, 34.2981) * CHOOSE(CONTROL!$C$15, $D$11, 100%, $F$11)</f>
        <v>34.300400000000003</v>
      </c>
      <c r="C984" s="8">
        <f>CHOOSE( CONTROL!$C$32, 34.311, 34.3087) * CHOOSE(CONTROL!$C$15, $D$11, 100%, $F$11)</f>
        <v>34.311</v>
      </c>
      <c r="D984" s="8">
        <f>CHOOSE( CONTROL!$C$32, 34.3453, 34.343) * CHOOSE( CONTROL!$C$15, $D$11, 100%, $F$11)</f>
        <v>34.345300000000002</v>
      </c>
      <c r="E984" s="12">
        <f>CHOOSE( CONTROL!$C$32, 34.3313, 34.329) * CHOOSE( CONTROL!$C$15, $D$11, 100%, $F$11)</f>
        <v>34.331299999999999</v>
      </c>
      <c r="F984" s="4">
        <f>CHOOSE( CONTROL!$C$32, 35.0294, 35.0271) * CHOOSE(CONTROL!$C$15, $D$11, 100%, $F$11)</f>
        <v>35.029400000000003</v>
      </c>
      <c r="G984" s="8">
        <f>CHOOSE( CONTROL!$C$32, 33.5314, 33.5291) * CHOOSE( CONTROL!$C$15, $D$11, 100%, $F$11)</f>
        <v>33.531399999999998</v>
      </c>
      <c r="H984" s="4">
        <f>CHOOSE( CONTROL!$C$32, 34.4823, 34.4801) * CHOOSE(CONTROL!$C$15, $D$11, 100%, $F$11)</f>
        <v>34.482300000000002</v>
      </c>
      <c r="I984" s="8">
        <f>CHOOSE( CONTROL!$C$32, 33.0487, 33.0465) * CHOOSE(CONTROL!$C$15, $D$11, 100%, $F$11)</f>
        <v>33.048699999999997</v>
      </c>
      <c r="J984" s="4">
        <f>CHOOSE( CONTROL!$C$32, 32.9175, 32.9153) * CHOOSE(CONTROL!$C$15, $D$11, 100%, $F$11)</f>
        <v>32.917499999999997</v>
      </c>
      <c r="K984" s="4"/>
      <c r="L984" s="9">
        <v>30.7165</v>
      </c>
      <c r="M984" s="9">
        <v>12.063700000000001</v>
      </c>
      <c r="N984" s="9">
        <v>4.9444999999999997</v>
      </c>
      <c r="O984" s="9">
        <v>0.37409999999999999</v>
      </c>
      <c r="P984" s="9">
        <v>1.2183999999999999</v>
      </c>
      <c r="Q984" s="9">
        <v>19.688099999999999</v>
      </c>
      <c r="R984" s="9"/>
      <c r="S984" s="11"/>
    </row>
    <row r="985" spans="1:19" ht="15.75">
      <c r="A985" s="13">
        <v>71497</v>
      </c>
      <c r="B985" s="8">
        <f>CHOOSE( CONTROL!$C$32, 33.5823, 33.58) * CHOOSE(CONTROL!$C$15, $D$11, 100%, $F$11)</f>
        <v>33.582299999999996</v>
      </c>
      <c r="C985" s="8">
        <f>CHOOSE( CONTROL!$C$32, 33.5929, 33.5906) * CHOOSE(CONTROL!$C$15, $D$11, 100%, $F$11)</f>
        <v>33.5929</v>
      </c>
      <c r="D985" s="8">
        <f>CHOOSE( CONTROL!$C$32, 33.6271, 33.6248) * CHOOSE( CONTROL!$C$15, $D$11, 100%, $F$11)</f>
        <v>33.627099999999999</v>
      </c>
      <c r="E985" s="12">
        <f>CHOOSE( CONTROL!$C$32, 33.6131, 33.6108) * CHOOSE( CONTROL!$C$15, $D$11, 100%, $F$11)</f>
        <v>33.613100000000003</v>
      </c>
      <c r="F985" s="4">
        <f>CHOOSE( CONTROL!$C$32, 34.3113, 34.309) * CHOOSE(CONTROL!$C$15, $D$11, 100%, $F$11)</f>
        <v>34.311300000000003</v>
      </c>
      <c r="G985" s="8">
        <f>CHOOSE( CONTROL!$C$32, 32.8292, 32.827) * CHOOSE( CONTROL!$C$15, $D$11, 100%, $F$11)</f>
        <v>32.8292</v>
      </c>
      <c r="H985" s="4">
        <f>CHOOSE( CONTROL!$C$32, 33.7802, 33.778) * CHOOSE(CONTROL!$C$15, $D$11, 100%, $F$11)</f>
        <v>33.780200000000001</v>
      </c>
      <c r="I985" s="8">
        <f>CHOOSE( CONTROL!$C$32, 32.3587, 32.3565) * CHOOSE(CONTROL!$C$15, $D$11, 100%, $F$11)</f>
        <v>32.358699999999999</v>
      </c>
      <c r="J985" s="4">
        <f>CHOOSE( CONTROL!$C$32, 32.2281, 32.2258) * CHOOSE(CONTROL!$C$15, $D$11, 100%, $F$11)</f>
        <v>32.228099999999998</v>
      </c>
      <c r="K985" s="4"/>
      <c r="L985" s="9">
        <v>29.7257</v>
      </c>
      <c r="M985" s="9">
        <v>11.6745</v>
      </c>
      <c r="N985" s="9">
        <v>4.7850000000000001</v>
      </c>
      <c r="O985" s="9">
        <v>0.36199999999999999</v>
      </c>
      <c r="P985" s="9">
        <v>1.1791</v>
      </c>
      <c r="Q985" s="9">
        <v>19.053000000000001</v>
      </c>
      <c r="R985" s="9"/>
      <c r="S985" s="11"/>
    </row>
    <row r="986" spans="1:19" ht="15.75">
      <c r="A986" s="13">
        <v>71528</v>
      </c>
      <c r="B986" s="8">
        <f>35.0712 * CHOOSE(CONTROL!$C$15, $D$11, 100%, $F$11)</f>
        <v>35.071199999999997</v>
      </c>
      <c r="C986" s="8">
        <f>35.0819 * CHOOSE(CONTROL!$C$15, $D$11, 100%, $F$11)</f>
        <v>35.081899999999997</v>
      </c>
      <c r="D986" s="8">
        <f>35.1174 * CHOOSE( CONTROL!$C$15, $D$11, 100%, $F$11)</f>
        <v>35.117400000000004</v>
      </c>
      <c r="E986" s="12">
        <f>35.1045 * CHOOSE( CONTROL!$C$15, $D$11, 100%, $F$11)</f>
        <v>35.104500000000002</v>
      </c>
      <c r="F986" s="4">
        <f>35.8 * CHOOSE(CONTROL!$C$15, $D$11, 100%, $F$11)</f>
        <v>35.799999999999997</v>
      </c>
      <c r="G986" s="8">
        <f>34.2846 * CHOOSE( CONTROL!$C$15, $D$11, 100%, $F$11)</f>
        <v>34.284599999999998</v>
      </c>
      <c r="H986" s="4">
        <f>35.2358 * CHOOSE(CONTROL!$C$15, $D$11, 100%, $F$11)</f>
        <v>35.235799999999998</v>
      </c>
      <c r="I986" s="8">
        <f>33.7897 * CHOOSE(CONTROL!$C$15, $D$11, 100%, $F$11)</f>
        <v>33.789700000000003</v>
      </c>
      <c r="J986" s="4">
        <f>33.6574 * CHOOSE(CONTROL!$C$15, $D$11, 100%, $F$11)</f>
        <v>33.657400000000003</v>
      </c>
      <c r="K986" s="4"/>
      <c r="L986" s="9">
        <v>31.095300000000002</v>
      </c>
      <c r="M986" s="9">
        <v>12.063700000000001</v>
      </c>
      <c r="N986" s="9">
        <v>4.9444999999999997</v>
      </c>
      <c r="O986" s="9">
        <v>0.37409999999999999</v>
      </c>
      <c r="P986" s="9">
        <v>1.2183999999999999</v>
      </c>
      <c r="Q986" s="9">
        <v>19.688099999999999</v>
      </c>
      <c r="R986" s="9"/>
      <c r="S986" s="11"/>
    </row>
    <row r="987" spans="1:19" ht="15.75">
      <c r="A987" s="13">
        <v>71558</v>
      </c>
      <c r="B987" s="8">
        <f>37.8235 * CHOOSE(CONTROL!$C$15, $D$11, 100%, $F$11)</f>
        <v>37.823500000000003</v>
      </c>
      <c r="C987" s="8">
        <f>37.8342 * CHOOSE(CONTROL!$C$15, $D$11, 100%, $F$11)</f>
        <v>37.834200000000003</v>
      </c>
      <c r="D987" s="8">
        <f>37.8103 * CHOOSE( CONTROL!$C$15, $D$11, 100%, $F$11)</f>
        <v>37.810299999999998</v>
      </c>
      <c r="E987" s="12">
        <f>37.8179 * CHOOSE( CONTROL!$C$15, $D$11, 100%, $F$11)</f>
        <v>37.817900000000002</v>
      </c>
      <c r="F987" s="4">
        <f>38.4846 * CHOOSE(CONTROL!$C$15, $D$11, 100%, $F$11)</f>
        <v>38.4846</v>
      </c>
      <c r="G987" s="8">
        <f>36.9754 * CHOOSE( CONTROL!$C$15, $D$11, 100%, $F$11)</f>
        <v>36.9754</v>
      </c>
      <c r="H987" s="4">
        <f>37.8604 * CHOOSE(CONTROL!$C$15, $D$11, 100%, $F$11)</f>
        <v>37.860399999999998</v>
      </c>
      <c r="I987" s="8">
        <f>36.4768 * CHOOSE(CONTROL!$C$15, $D$11, 100%, $F$11)</f>
        <v>36.476799999999997</v>
      </c>
      <c r="J987" s="4">
        <f>36.2998 * CHOOSE(CONTROL!$C$15, $D$11, 100%, $F$11)</f>
        <v>36.299799999999998</v>
      </c>
      <c r="K987" s="4"/>
      <c r="L987" s="9">
        <v>28.360600000000002</v>
      </c>
      <c r="M987" s="9">
        <v>11.6745</v>
      </c>
      <c r="N987" s="9">
        <v>4.7850000000000001</v>
      </c>
      <c r="O987" s="9">
        <v>0.36199999999999999</v>
      </c>
      <c r="P987" s="9">
        <v>1.2509999999999999</v>
      </c>
      <c r="Q987" s="9">
        <v>19.053000000000001</v>
      </c>
      <c r="R987" s="9"/>
      <c r="S987" s="11"/>
    </row>
    <row r="988" spans="1:19" ht="15.75">
      <c r="A988" s="13">
        <v>71589</v>
      </c>
      <c r="B988" s="8">
        <f>37.7547 * CHOOSE(CONTROL!$C$15, $D$11, 100%, $F$11)</f>
        <v>37.7547</v>
      </c>
      <c r="C988" s="8">
        <f>37.7655 * CHOOSE(CONTROL!$C$15, $D$11, 100%, $F$11)</f>
        <v>37.765500000000003</v>
      </c>
      <c r="D988" s="8">
        <f>37.7432 * CHOOSE( CONTROL!$C$15, $D$11, 100%, $F$11)</f>
        <v>37.743200000000002</v>
      </c>
      <c r="E988" s="12">
        <f>37.7502 * CHOOSE( CONTROL!$C$15, $D$11, 100%, $F$11)</f>
        <v>37.7502</v>
      </c>
      <c r="F988" s="4">
        <f>38.4158 * CHOOSE(CONTROL!$C$15, $D$11, 100%, $F$11)</f>
        <v>38.415799999999997</v>
      </c>
      <c r="G988" s="8">
        <f>36.9094 * CHOOSE( CONTROL!$C$15, $D$11, 100%, $F$11)</f>
        <v>36.909399999999998</v>
      </c>
      <c r="H988" s="4">
        <f>37.7932 * CHOOSE(CONTROL!$C$15, $D$11, 100%, $F$11)</f>
        <v>37.793199999999999</v>
      </c>
      <c r="I988" s="8">
        <f>36.4159 * CHOOSE(CONTROL!$C$15, $D$11, 100%, $F$11)</f>
        <v>36.415900000000001</v>
      </c>
      <c r="J988" s="4">
        <f>36.2338 * CHOOSE(CONTROL!$C$15, $D$11, 100%, $F$11)</f>
        <v>36.233800000000002</v>
      </c>
      <c r="K988" s="4"/>
      <c r="L988" s="9">
        <v>29.306000000000001</v>
      </c>
      <c r="M988" s="9">
        <v>12.063700000000001</v>
      </c>
      <c r="N988" s="9">
        <v>4.9444999999999997</v>
      </c>
      <c r="O988" s="9">
        <v>0.37409999999999999</v>
      </c>
      <c r="P988" s="9">
        <v>1.2927</v>
      </c>
      <c r="Q988" s="9">
        <v>19.688099999999999</v>
      </c>
      <c r="R988" s="9"/>
      <c r="S988" s="11"/>
    </row>
    <row r="989" spans="1:19" ht="15.75">
      <c r="A989" s="13">
        <v>71620</v>
      </c>
      <c r="B989" s="8">
        <f>38.8679 * CHOOSE(CONTROL!$C$15, $D$11, 100%, $F$11)</f>
        <v>38.867899999999999</v>
      </c>
      <c r="C989" s="8">
        <f>38.8787 * CHOOSE(CONTROL!$C$15, $D$11, 100%, $F$11)</f>
        <v>38.878700000000002</v>
      </c>
      <c r="D989" s="8">
        <f>38.8603 * CHOOSE( CONTROL!$C$15, $D$11, 100%, $F$11)</f>
        <v>38.860300000000002</v>
      </c>
      <c r="E989" s="12">
        <f>38.8659 * CHOOSE( CONTROL!$C$15, $D$11, 100%, $F$11)</f>
        <v>38.865900000000003</v>
      </c>
      <c r="F989" s="4">
        <f>39.529 * CHOOSE(CONTROL!$C$15, $D$11, 100%, $F$11)</f>
        <v>39.529000000000003</v>
      </c>
      <c r="G989" s="8">
        <f>37.9934 * CHOOSE( CONTROL!$C$15, $D$11, 100%, $F$11)</f>
        <v>37.993400000000001</v>
      </c>
      <c r="H989" s="4">
        <f>38.8816 * CHOOSE(CONTROL!$C$15, $D$11, 100%, $F$11)</f>
        <v>38.881599999999999</v>
      </c>
      <c r="I989" s="8">
        <f>37.4406 * CHOOSE(CONTROL!$C$15, $D$11, 100%, $F$11)</f>
        <v>37.440600000000003</v>
      </c>
      <c r="J989" s="4">
        <f>37.3026 * CHOOSE(CONTROL!$C$15, $D$11, 100%, $F$11)</f>
        <v>37.302599999999998</v>
      </c>
      <c r="K989" s="4"/>
      <c r="L989" s="9">
        <v>29.306000000000001</v>
      </c>
      <c r="M989" s="9">
        <v>12.063700000000001</v>
      </c>
      <c r="N989" s="9">
        <v>4.9444999999999997</v>
      </c>
      <c r="O989" s="9">
        <v>0.37409999999999999</v>
      </c>
      <c r="P989" s="9">
        <v>1.2927</v>
      </c>
      <c r="Q989" s="9">
        <v>19.688099999999999</v>
      </c>
      <c r="R989" s="9"/>
      <c r="S989" s="11"/>
    </row>
    <row r="990" spans="1:19" ht="15.75">
      <c r="A990" s="13">
        <v>71649</v>
      </c>
      <c r="B990" s="8">
        <f>36.3561 * CHOOSE(CONTROL!$C$15, $D$11, 100%, $F$11)</f>
        <v>36.356099999999998</v>
      </c>
      <c r="C990" s="8">
        <f>36.3669 * CHOOSE(CONTROL!$C$15, $D$11, 100%, $F$11)</f>
        <v>36.366900000000001</v>
      </c>
      <c r="D990" s="8">
        <f>36.3483 * CHOOSE( CONTROL!$C$15, $D$11, 100%, $F$11)</f>
        <v>36.348300000000002</v>
      </c>
      <c r="E990" s="12">
        <f>36.354 * CHOOSE( CONTROL!$C$15, $D$11, 100%, $F$11)</f>
        <v>36.353999999999999</v>
      </c>
      <c r="F990" s="4">
        <f>37.0172 * CHOOSE(CONTROL!$C$15, $D$11, 100%, $F$11)</f>
        <v>37.017200000000003</v>
      </c>
      <c r="G990" s="8">
        <f>35.5376 * CHOOSE( CONTROL!$C$15, $D$11, 100%, $F$11)</f>
        <v>35.537599999999998</v>
      </c>
      <c r="H990" s="4">
        <f>36.4258 * CHOOSE(CONTROL!$C$15, $D$11, 100%, $F$11)</f>
        <v>36.425800000000002</v>
      </c>
      <c r="I990" s="8">
        <f>35.0274 * CHOOSE(CONTROL!$C$15, $D$11, 100%, $F$11)</f>
        <v>35.0274</v>
      </c>
      <c r="J990" s="4">
        <f>34.8911 * CHOOSE(CONTROL!$C$15, $D$11, 100%, $F$11)</f>
        <v>34.891100000000002</v>
      </c>
      <c r="K990" s="4"/>
      <c r="L990" s="9">
        <v>27.415299999999998</v>
      </c>
      <c r="M990" s="9">
        <v>11.285299999999999</v>
      </c>
      <c r="N990" s="9">
        <v>4.6254999999999997</v>
      </c>
      <c r="O990" s="9">
        <v>0.34989999999999999</v>
      </c>
      <c r="P990" s="9">
        <v>1.2093</v>
      </c>
      <c r="Q990" s="9">
        <v>18.417899999999999</v>
      </c>
      <c r="R990" s="9"/>
      <c r="S990" s="11"/>
    </row>
    <row r="991" spans="1:19" ht="15.75">
      <c r="A991" s="13">
        <v>71680</v>
      </c>
      <c r="B991" s="8">
        <f>35.5825 * CHOOSE(CONTROL!$C$15, $D$11, 100%, $F$11)</f>
        <v>35.582500000000003</v>
      </c>
      <c r="C991" s="8">
        <f>35.5933 * CHOOSE(CONTROL!$C$15, $D$11, 100%, $F$11)</f>
        <v>35.593299999999999</v>
      </c>
      <c r="D991" s="8">
        <f>35.5742 * CHOOSE( CONTROL!$C$15, $D$11, 100%, $F$11)</f>
        <v>35.574199999999998</v>
      </c>
      <c r="E991" s="12">
        <f>35.58 * CHOOSE( CONTROL!$C$15, $D$11, 100%, $F$11)</f>
        <v>35.58</v>
      </c>
      <c r="F991" s="4">
        <f>36.2436 * CHOOSE(CONTROL!$C$15, $D$11, 100%, $F$11)</f>
        <v>36.243600000000001</v>
      </c>
      <c r="G991" s="8">
        <f>34.7808 * CHOOSE( CONTROL!$C$15, $D$11, 100%, $F$11)</f>
        <v>34.780799999999999</v>
      </c>
      <c r="H991" s="4">
        <f>35.6695 * CHOOSE(CONTROL!$C$15, $D$11, 100%, $F$11)</f>
        <v>35.669499999999999</v>
      </c>
      <c r="I991" s="8">
        <f>34.2827 * CHOOSE(CONTROL!$C$15, $D$11, 100%, $F$11)</f>
        <v>34.282699999999998</v>
      </c>
      <c r="J991" s="4">
        <f>34.1483 * CHOOSE(CONTROL!$C$15, $D$11, 100%, $F$11)</f>
        <v>34.148299999999999</v>
      </c>
      <c r="K991" s="4"/>
      <c r="L991" s="9">
        <v>29.306000000000001</v>
      </c>
      <c r="M991" s="9">
        <v>12.063700000000001</v>
      </c>
      <c r="N991" s="9">
        <v>4.9444999999999997</v>
      </c>
      <c r="O991" s="9">
        <v>0.37409999999999999</v>
      </c>
      <c r="P991" s="9">
        <v>1.2927</v>
      </c>
      <c r="Q991" s="9">
        <v>19.688099999999999</v>
      </c>
      <c r="R991" s="9"/>
      <c r="S991" s="11"/>
    </row>
    <row r="992" spans="1:19" ht="15.75">
      <c r="A992" s="13">
        <v>71710</v>
      </c>
      <c r="B992" s="8">
        <f>36.123 * CHOOSE(CONTROL!$C$15, $D$11, 100%, $F$11)</f>
        <v>36.122999999999998</v>
      </c>
      <c r="C992" s="8">
        <f>36.1338 * CHOOSE(CONTROL!$C$15, $D$11, 100%, $F$11)</f>
        <v>36.133800000000001</v>
      </c>
      <c r="D992" s="8">
        <f>36.1686 * CHOOSE( CONTROL!$C$15, $D$11, 100%, $F$11)</f>
        <v>36.168599999999998</v>
      </c>
      <c r="E992" s="12">
        <f>36.1559 * CHOOSE( CONTROL!$C$15, $D$11, 100%, $F$11)</f>
        <v>36.155900000000003</v>
      </c>
      <c r="F992" s="4">
        <f>36.8519 * CHOOSE(CONTROL!$C$15, $D$11, 100%, $F$11)</f>
        <v>36.851900000000001</v>
      </c>
      <c r="G992" s="8">
        <f>35.3121 * CHOOSE( CONTROL!$C$15, $D$11, 100%, $F$11)</f>
        <v>35.312100000000001</v>
      </c>
      <c r="H992" s="4">
        <f>36.2642 * CHOOSE(CONTROL!$C$15, $D$11, 100%, $F$11)</f>
        <v>36.264200000000002</v>
      </c>
      <c r="I992" s="8">
        <f>34.7973 * CHOOSE(CONTROL!$C$15, $D$11, 100%, $F$11)</f>
        <v>34.7973</v>
      </c>
      <c r="J992" s="4">
        <f>34.6673 * CHOOSE(CONTROL!$C$15, $D$11, 100%, $F$11)</f>
        <v>34.667299999999997</v>
      </c>
      <c r="K992" s="4"/>
      <c r="L992" s="9">
        <v>30.092199999999998</v>
      </c>
      <c r="M992" s="9">
        <v>11.6745</v>
      </c>
      <c r="N992" s="9">
        <v>4.7850000000000001</v>
      </c>
      <c r="O992" s="9">
        <v>0.36199999999999999</v>
      </c>
      <c r="P992" s="9">
        <v>1.1791</v>
      </c>
      <c r="Q992" s="9">
        <v>19.053000000000001</v>
      </c>
      <c r="R992" s="9"/>
      <c r="S992" s="11"/>
    </row>
    <row r="993" spans="1:19" ht="15.75">
      <c r="A993" s="13">
        <v>71741</v>
      </c>
      <c r="B993" s="8">
        <f>CHOOSE( CONTROL!$C$32, 37.0874, 37.0851) * CHOOSE(CONTROL!$C$15, $D$11, 100%, $F$11)</f>
        <v>37.087400000000002</v>
      </c>
      <c r="C993" s="8">
        <f>CHOOSE( CONTROL!$C$32, 37.0979, 37.0956) * CHOOSE(CONTROL!$C$15, $D$11, 100%, $F$11)</f>
        <v>37.097900000000003</v>
      </c>
      <c r="D993" s="8">
        <f>CHOOSE( CONTROL!$C$32, 37.1318, 37.1295) * CHOOSE( CONTROL!$C$15, $D$11, 100%, $F$11)</f>
        <v>37.131799999999998</v>
      </c>
      <c r="E993" s="12">
        <f>CHOOSE( CONTROL!$C$32, 37.1179, 37.1156) * CHOOSE( CONTROL!$C$15, $D$11, 100%, $F$11)</f>
        <v>37.117899999999999</v>
      </c>
      <c r="F993" s="4">
        <f>CHOOSE( CONTROL!$C$32, 37.8163, 37.814) * CHOOSE(CONTROL!$C$15, $D$11, 100%, $F$11)</f>
        <v>37.816299999999998</v>
      </c>
      <c r="G993" s="8">
        <f>CHOOSE( CONTROL!$C$32, 36.2555, 36.2533) * CHOOSE( CONTROL!$C$15, $D$11, 100%, $F$11)</f>
        <v>36.255499999999998</v>
      </c>
      <c r="H993" s="4">
        <f>CHOOSE( CONTROL!$C$32, 37.2071, 37.2049) * CHOOSE(CONTROL!$C$15, $D$11, 100%, $F$11)</f>
        <v>37.207099999999997</v>
      </c>
      <c r="I993" s="8">
        <f>CHOOSE( CONTROL!$C$32, 35.7238, 35.7215) * CHOOSE(CONTROL!$C$15, $D$11, 100%, $F$11)</f>
        <v>35.723799999999997</v>
      </c>
      <c r="J993" s="4">
        <f>CHOOSE( CONTROL!$C$32, 35.5933, 35.5911) * CHOOSE(CONTROL!$C$15, $D$11, 100%, $F$11)</f>
        <v>35.593299999999999</v>
      </c>
      <c r="K993" s="4"/>
      <c r="L993" s="9">
        <v>30.7165</v>
      </c>
      <c r="M993" s="9">
        <v>12.063700000000001</v>
      </c>
      <c r="N993" s="9">
        <v>4.9444999999999997</v>
      </c>
      <c r="O993" s="9">
        <v>0.37409999999999999</v>
      </c>
      <c r="P993" s="9">
        <v>1.2183999999999999</v>
      </c>
      <c r="Q993" s="9">
        <v>19.688099999999999</v>
      </c>
      <c r="R993" s="9"/>
      <c r="S993" s="11"/>
    </row>
    <row r="994" spans="1:19" ht="15.75">
      <c r="A994" s="13">
        <v>71771</v>
      </c>
      <c r="B994" s="8">
        <f>CHOOSE( CONTROL!$C$32, 36.4914, 36.4891) * CHOOSE(CONTROL!$C$15, $D$11, 100%, $F$11)</f>
        <v>36.491399999999999</v>
      </c>
      <c r="C994" s="8">
        <f>CHOOSE( CONTROL!$C$32, 36.5019, 36.4996) * CHOOSE(CONTROL!$C$15, $D$11, 100%, $F$11)</f>
        <v>36.501899999999999</v>
      </c>
      <c r="D994" s="8">
        <f>CHOOSE( CONTROL!$C$32, 36.5359, 36.5336) * CHOOSE( CONTROL!$C$15, $D$11, 100%, $F$11)</f>
        <v>36.535899999999998</v>
      </c>
      <c r="E994" s="12">
        <f>CHOOSE( CONTROL!$C$32, 36.522, 36.5197) * CHOOSE( CONTROL!$C$15, $D$11, 100%, $F$11)</f>
        <v>36.521999999999998</v>
      </c>
      <c r="F994" s="4">
        <f>CHOOSE( CONTROL!$C$32, 37.2203, 37.218) * CHOOSE(CONTROL!$C$15, $D$11, 100%, $F$11)</f>
        <v>37.220300000000002</v>
      </c>
      <c r="G994" s="8">
        <f>CHOOSE( CONTROL!$C$32, 35.6731, 35.6708) * CHOOSE( CONTROL!$C$15, $D$11, 100%, $F$11)</f>
        <v>35.673099999999998</v>
      </c>
      <c r="H994" s="4">
        <f>CHOOSE( CONTROL!$C$32, 36.6244, 36.6221) * CHOOSE(CONTROL!$C$15, $D$11, 100%, $F$11)</f>
        <v>36.624400000000001</v>
      </c>
      <c r="I994" s="8">
        <f>CHOOSE( CONTROL!$C$32, 35.152, 35.1498) * CHOOSE(CONTROL!$C$15, $D$11, 100%, $F$11)</f>
        <v>35.152000000000001</v>
      </c>
      <c r="J994" s="4">
        <f>CHOOSE( CONTROL!$C$32, 35.021, 35.0188) * CHOOSE(CONTROL!$C$15, $D$11, 100%, $F$11)</f>
        <v>35.021000000000001</v>
      </c>
      <c r="K994" s="4"/>
      <c r="L994" s="9">
        <v>29.7257</v>
      </c>
      <c r="M994" s="9">
        <v>11.6745</v>
      </c>
      <c r="N994" s="9">
        <v>4.7850000000000001</v>
      </c>
      <c r="O994" s="9">
        <v>0.36199999999999999</v>
      </c>
      <c r="P994" s="9">
        <v>1.1791</v>
      </c>
      <c r="Q994" s="9">
        <v>19.053000000000001</v>
      </c>
      <c r="R994" s="9"/>
      <c r="S994" s="11"/>
    </row>
    <row r="995" spans="1:19" ht="15.75">
      <c r="A995" s="13">
        <v>71802</v>
      </c>
      <c r="B995" s="8">
        <f>CHOOSE( CONTROL!$C$32, 38.0609, 38.0586) * CHOOSE(CONTROL!$C$15, $D$11, 100%, $F$11)</f>
        <v>38.060899999999997</v>
      </c>
      <c r="C995" s="8">
        <f>CHOOSE( CONTROL!$C$32, 38.0714, 38.0691) * CHOOSE(CONTROL!$C$15, $D$11, 100%, $F$11)</f>
        <v>38.071399999999997</v>
      </c>
      <c r="D995" s="8">
        <f>CHOOSE( CONTROL!$C$32, 38.1056, 38.1033) * CHOOSE( CONTROL!$C$15, $D$11, 100%, $F$11)</f>
        <v>38.105600000000003</v>
      </c>
      <c r="E995" s="12">
        <f>CHOOSE( CONTROL!$C$32, 38.0916, 38.0893) * CHOOSE( CONTROL!$C$15, $D$11, 100%, $F$11)</f>
        <v>38.0916</v>
      </c>
      <c r="F995" s="4">
        <f>CHOOSE( CONTROL!$C$32, 38.7898, 38.7875) * CHOOSE(CONTROL!$C$15, $D$11, 100%, $F$11)</f>
        <v>38.7898</v>
      </c>
      <c r="G995" s="8">
        <f>CHOOSE( CONTROL!$C$32, 37.2079, 37.2056) * CHOOSE( CONTROL!$C$15, $D$11, 100%, $F$11)</f>
        <v>37.207900000000002</v>
      </c>
      <c r="H995" s="4">
        <f>CHOOSE( CONTROL!$C$32, 38.1589, 38.1566) * CHOOSE(CONTROL!$C$15, $D$11, 100%, $F$11)</f>
        <v>38.158900000000003</v>
      </c>
      <c r="I995" s="8">
        <f>CHOOSE( CONTROL!$C$32, 36.6606, 36.6584) * CHOOSE(CONTROL!$C$15, $D$11, 100%, $F$11)</f>
        <v>36.660600000000002</v>
      </c>
      <c r="J995" s="4">
        <f>CHOOSE( CONTROL!$C$32, 36.5279, 36.5257) * CHOOSE(CONTROL!$C$15, $D$11, 100%, $F$11)</f>
        <v>36.527900000000002</v>
      </c>
      <c r="K995" s="4"/>
      <c r="L995" s="9">
        <v>30.7165</v>
      </c>
      <c r="M995" s="9">
        <v>12.063700000000001</v>
      </c>
      <c r="N995" s="9">
        <v>4.9444999999999997</v>
      </c>
      <c r="O995" s="9">
        <v>0.37409999999999999</v>
      </c>
      <c r="P995" s="9">
        <v>1.2183999999999999</v>
      </c>
      <c r="Q995" s="9">
        <v>19.688099999999999</v>
      </c>
      <c r="R995" s="9"/>
      <c r="S995" s="11"/>
    </row>
    <row r="996" spans="1:19" ht="15.75">
      <c r="A996" s="13">
        <v>71833</v>
      </c>
      <c r="B996" s="8">
        <f>CHOOSE( CONTROL!$C$32, 35.1242, 35.1219) * CHOOSE(CONTROL!$C$15, $D$11, 100%, $F$11)</f>
        <v>35.124200000000002</v>
      </c>
      <c r="C996" s="8">
        <f>CHOOSE( CONTROL!$C$32, 35.1347, 35.1324) * CHOOSE(CONTROL!$C$15, $D$11, 100%, $F$11)</f>
        <v>35.134700000000002</v>
      </c>
      <c r="D996" s="8">
        <f>CHOOSE( CONTROL!$C$32, 35.169, 35.1667) * CHOOSE( CONTROL!$C$15, $D$11, 100%, $F$11)</f>
        <v>35.168999999999997</v>
      </c>
      <c r="E996" s="12">
        <f>CHOOSE( CONTROL!$C$32, 35.155, 35.1527) * CHOOSE( CONTROL!$C$15, $D$11, 100%, $F$11)</f>
        <v>35.155000000000001</v>
      </c>
      <c r="F996" s="4">
        <f>CHOOSE( CONTROL!$C$32, 35.8531, 35.8508) * CHOOSE(CONTROL!$C$15, $D$11, 100%, $F$11)</f>
        <v>35.853099999999998</v>
      </c>
      <c r="G996" s="8">
        <f>CHOOSE( CONTROL!$C$32, 34.3368, 34.3345) * CHOOSE( CONTROL!$C$15, $D$11, 100%, $F$11)</f>
        <v>34.336799999999997</v>
      </c>
      <c r="H996" s="4">
        <f>CHOOSE( CONTROL!$C$32, 35.2877, 35.2854) * CHOOSE(CONTROL!$C$15, $D$11, 100%, $F$11)</f>
        <v>35.287700000000001</v>
      </c>
      <c r="I996" s="8">
        <f>CHOOSE( CONTROL!$C$32, 33.84, 33.8378) * CHOOSE(CONTROL!$C$15, $D$11, 100%, $F$11)</f>
        <v>33.840000000000003</v>
      </c>
      <c r="J996" s="4">
        <f>CHOOSE( CONTROL!$C$32, 33.7084, 33.7062) * CHOOSE(CONTROL!$C$15, $D$11, 100%, $F$11)</f>
        <v>33.708399999999997</v>
      </c>
      <c r="K996" s="4"/>
      <c r="L996" s="9">
        <v>30.7165</v>
      </c>
      <c r="M996" s="9">
        <v>12.063700000000001</v>
      </c>
      <c r="N996" s="9">
        <v>4.9444999999999997</v>
      </c>
      <c r="O996" s="9">
        <v>0.37409999999999999</v>
      </c>
      <c r="P996" s="9">
        <v>1.2183999999999999</v>
      </c>
      <c r="Q996" s="9">
        <v>19.688099999999999</v>
      </c>
      <c r="R996" s="9"/>
      <c r="S996" s="11"/>
    </row>
    <row r="997" spans="1:19" ht="15.75">
      <c r="A997" s="13">
        <v>71863</v>
      </c>
      <c r="B997" s="8">
        <f>CHOOSE( CONTROL!$C$32, 34.3888, 34.3865) * CHOOSE(CONTROL!$C$15, $D$11, 100%, $F$11)</f>
        <v>34.388800000000003</v>
      </c>
      <c r="C997" s="8">
        <f>CHOOSE( CONTROL!$C$32, 34.3994, 34.3971) * CHOOSE(CONTROL!$C$15, $D$11, 100%, $F$11)</f>
        <v>34.3994</v>
      </c>
      <c r="D997" s="8">
        <f>CHOOSE( CONTROL!$C$32, 34.4336, 34.4313) * CHOOSE( CONTROL!$C$15, $D$11, 100%, $F$11)</f>
        <v>34.433599999999998</v>
      </c>
      <c r="E997" s="12">
        <f>CHOOSE( CONTROL!$C$32, 34.4196, 34.4173) * CHOOSE( CONTROL!$C$15, $D$11, 100%, $F$11)</f>
        <v>34.419600000000003</v>
      </c>
      <c r="F997" s="4">
        <f>CHOOSE( CONTROL!$C$32, 35.1177, 35.1154) * CHOOSE(CONTROL!$C$15, $D$11, 100%, $F$11)</f>
        <v>35.117699999999999</v>
      </c>
      <c r="G997" s="8">
        <f>CHOOSE( CONTROL!$C$32, 33.6177, 33.6155) * CHOOSE( CONTROL!$C$15, $D$11, 100%, $F$11)</f>
        <v>33.617699999999999</v>
      </c>
      <c r="H997" s="4">
        <f>CHOOSE( CONTROL!$C$32, 34.5687, 34.5665) * CHOOSE(CONTROL!$C$15, $D$11, 100%, $F$11)</f>
        <v>34.5687</v>
      </c>
      <c r="I997" s="8">
        <f>CHOOSE( CONTROL!$C$32, 33.1334, 33.1312) * CHOOSE(CONTROL!$C$15, $D$11, 100%, $F$11)</f>
        <v>33.133400000000002</v>
      </c>
      <c r="J997" s="4">
        <f>CHOOSE( CONTROL!$C$32, 33.0024, 33.0001) * CHOOSE(CONTROL!$C$15, $D$11, 100%, $F$11)</f>
        <v>33.002400000000002</v>
      </c>
      <c r="K997" s="4"/>
      <c r="L997" s="9">
        <v>29.7257</v>
      </c>
      <c r="M997" s="9">
        <v>11.6745</v>
      </c>
      <c r="N997" s="9">
        <v>4.7850000000000001</v>
      </c>
      <c r="O997" s="9">
        <v>0.36199999999999999</v>
      </c>
      <c r="P997" s="9">
        <v>1.1791</v>
      </c>
      <c r="Q997" s="9">
        <v>19.053000000000001</v>
      </c>
      <c r="R997" s="9"/>
      <c r="S997" s="11"/>
    </row>
    <row r="998" spans="1:19" ht="15.75">
      <c r="A998" s="13">
        <v>71894</v>
      </c>
      <c r="B998" s="8">
        <f>35.9135 * CHOOSE(CONTROL!$C$15, $D$11, 100%, $F$11)</f>
        <v>35.913499999999999</v>
      </c>
      <c r="C998" s="8">
        <f>35.9243 * CHOOSE(CONTROL!$C$15, $D$11, 100%, $F$11)</f>
        <v>35.924300000000002</v>
      </c>
      <c r="D998" s="8">
        <f>35.9597 * CHOOSE( CONTROL!$C$15, $D$11, 100%, $F$11)</f>
        <v>35.959699999999998</v>
      </c>
      <c r="E998" s="12">
        <f>35.9469 * CHOOSE( CONTROL!$C$15, $D$11, 100%, $F$11)</f>
        <v>35.946899999999999</v>
      </c>
      <c r="F998" s="4">
        <f>36.6423 * CHOOSE(CONTROL!$C$15, $D$11, 100%, $F$11)</f>
        <v>36.642299999999999</v>
      </c>
      <c r="G998" s="8">
        <f>35.1081 * CHOOSE( CONTROL!$C$15, $D$11, 100%, $F$11)</f>
        <v>35.1081</v>
      </c>
      <c r="H998" s="4">
        <f>36.0593 * CHOOSE(CONTROL!$C$15, $D$11, 100%, $F$11)</f>
        <v>36.0593</v>
      </c>
      <c r="I998" s="8">
        <f>34.5988 * CHOOSE(CONTROL!$C$15, $D$11, 100%, $F$11)</f>
        <v>34.598799999999997</v>
      </c>
      <c r="J998" s="4">
        <f>34.4661 * CHOOSE(CONTROL!$C$15, $D$11, 100%, $F$11)</f>
        <v>34.466099999999997</v>
      </c>
      <c r="K998" s="4"/>
      <c r="L998" s="9">
        <v>31.095300000000002</v>
      </c>
      <c r="M998" s="9">
        <v>12.063700000000001</v>
      </c>
      <c r="N998" s="9">
        <v>4.9444999999999997</v>
      </c>
      <c r="O998" s="9">
        <v>0.37409999999999999</v>
      </c>
      <c r="P998" s="9">
        <v>1.2183999999999999</v>
      </c>
      <c r="Q998" s="9">
        <v>19.688099999999999</v>
      </c>
      <c r="R998" s="9"/>
      <c r="S998" s="11"/>
    </row>
    <row r="999" spans="1:19" ht="15.75">
      <c r="A999" s="13">
        <v>71924</v>
      </c>
      <c r="B999" s="8">
        <f>38.7319 * CHOOSE(CONTROL!$C$15, $D$11, 100%, $F$11)</f>
        <v>38.731900000000003</v>
      </c>
      <c r="C999" s="8">
        <f>38.7427 * CHOOSE(CONTROL!$C$15, $D$11, 100%, $F$11)</f>
        <v>38.742699999999999</v>
      </c>
      <c r="D999" s="8">
        <f>38.7187 * CHOOSE( CONTROL!$C$15, $D$11, 100%, $F$11)</f>
        <v>38.718699999999998</v>
      </c>
      <c r="E999" s="12">
        <f>38.7263 * CHOOSE( CONTROL!$C$15, $D$11, 100%, $F$11)</f>
        <v>38.726300000000002</v>
      </c>
      <c r="F999" s="4">
        <f>39.393 * CHOOSE(CONTROL!$C$15, $D$11, 100%, $F$11)</f>
        <v>39.393000000000001</v>
      </c>
      <c r="G999" s="8">
        <f>37.8636 * CHOOSE( CONTROL!$C$15, $D$11, 100%, $F$11)</f>
        <v>37.863599999999998</v>
      </c>
      <c r="H999" s="4">
        <f>38.7486 * CHOOSE(CONTROL!$C$15, $D$11, 100%, $F$11)</f>
        <v>38.748600000000003</v>
      </c>
      <c r="I999" s="8">
        <f>37.3494 * CHOOSE(CONTROL!$C$15, $D$11, 100%, $F$11)</f>
        <v>37.349400000000003</v>
      </c>
      <c r="J999" s="4">
        <f>37.172 * CHOOSE(CONTROL!$C$15, $D$11, 100%, $F$11)</f>
        <v>37.171999999999997</v>
      </c>
      <c r="K999" s="4"/>
      <c r="L999" s="9">
        <v>28.360600000000002</v>
      </c>
      <c r="M999" s="9">
        <v>11.6745</v>
      </c>
      <c r="N999" s="9">
        <v>4.7850000000000001</v>
      </c>
      <c r="O999" s="9">
        <v>0.36199999999999999</v>
      </c>
      <c r="P999" s="9">
        <v>1.2509999999999999</v>
      </c>
      <c r="Q999" s="9">
        <v>19.053000000000001</v>
      </c>
      <c r="R999" s="9"/>
      <c r="S999" s="11"/>
    </row>
    <row r="1000" spans="1:19" ht="15.75">
      <c r="A1000" s="13">
        <v>71955</v>
      </c>
      <c r="B1000" s="8">
        <f>38.6615 * CHOOSE(CONTROL!$C$15, $D$11, 100%, $F$11)</f>
        <v>38.661499999999997</v>
      </c>
      <c r="C1000" s="8">
        <f>38.6722 * CHOOSE(CONTROL!$C$15, $D$11, 100%, $F$11)</f>
        <v>38.672199999999997</v>
      </c>
      <c r="D1000" s="8">
        <f>38.65 * CHOOSE( CONTROL!$C$15, $D$11, 100%, $F$11)</f>
        <v>38.65</v>
      </c>
      <c r="E1000" s="12">
        <f>38.657 * CHOOSE( CONTROL!$C$15, $D$11, 100%, $F$11)</f>
        <v>38.656999999999996</v>
      </c>
      <c r="F1000" s="4">
        <f>39.3226 * CHOOSE(CONTROL!$C$15, $D$11, 100%, $F$11)</f>
        <v>39.322600000000001</v>
      </c>
      <c r="G1000" s="8">
        <f>37.796 * CHOOSE( CONTROL!$C$15, $D$11, 100%, $F$11)</f>
        <v>37.795999999999999</v>
      </c>
      <c r="H1000" s="4">
        <f>38.6798 * CHOOSE(CONTROL!$C$15, $D$11, 100%, $F$11)</f>
        <v>38.6798</v>
      </c>
      <c r="I1000" s="8">
        <f>37.287 * CHOOSE(CONTROL!$C$15, $D$11, 100%, $F$11)</f>
        <v>37.286999999999999</v>
      </c>
      <c r="J1000" s="4">
        <f>37.1044 * CHOOSE(CONTROL!$C$15, $D$11, 100%, $F$11)</f>
        <v>37.104399999999998</v>
      </c>
      <c r="K1000" s="4"/>
      <c r="L1000" s="9">
        <v>29.306000000000001</v>
      </c>
      <c r="M1000" s="9">
        <v>12.063700000000001</v>
      </c>
      <c r="N1000" s="9">
        <v>4.9444999999999997</v>
      </c>
      <c r="O1000" s="9">
        <v>0.37409999999999999</v>
      </c>
      <c r="P1000" s="9">
        <v>1.2927</v>
      </c>
      <c r="Q1000" s="9">
        <v>19.688099999999999</v>
      </c>
      <c r="R1000" s="9"/>
      <c r="S1000" s="11"/>
    </row>
    <row r="1001" spans="1:19" ht="15.75">
      <c r="A1001" s="13">
        <v>71986</v>
      </c>
      <c r="B1001" s="8">
        <f>39.8014 * CHOOSE(CONTROL!$C$15, $D$11, 100%, $F$11)</f>
        <v>39.801400000000001</v>
      </c>
      <c r="C1001" s="8">
        <f>39.8122 * CHOOSE(CONTROL!$C$15, $D$11, 100%, $F$11)</f>
        <v>39.812199999999997</v>
      </c>
      <c r="D1001" s="8">
        <f>39.7938 * CHOOSE( CONTROL!$C$15, $D$11, 100%, $F$11)</f>
        <v>39.793799999999997</v>
      </c>
      <c r="E1001" s="12">
        <f>39.7994 * CHOOSE( CONTROL!$C$15, $D$11, 100%, $F$11)</f>
        <v>39.799399999999999</v>
      </c>
      <c r="F1001" s="4">
        <f>40.4625 * CHOOSE(CONTROL!$C$15, $D$11, 100%, $F$11)</f>
        <v>40.462499999999999</v>
      </c>
      <c r="G1001" s="8">
        <f>38.9061 * CHOOSE( CONTROL!$C$15, $D$11, 100%, $F$11)</f>
        <v>38.906100000000002</v>
      </c>
      <c r="H1001" s="4">
        <f>39.7943 * CHOOSE(CONTROL!$C$15, $D$11, 100%, $F$11)</f>
        <v>39.7943</v>
      </c>
      <c r="I1001" s="8">
        <f>38.3373 * CHOOSE(CONTROL!$C$15, $D$11, 100%, $F$11)</f>
        <v>38.337299999999999</v>
      </c>
      <c r="J1001" s="4">
        <f>38.1989 * CHOOSE(CONTROL!$C$15, $D$11, 100%, $F$11)</f>
        <v>38.198900000000002</v>
      </c>
      <c r="K1001" s="4"/>
      <c r="L1001" s="9">
        <v>29.306000000000001</v>
      </c>
      <c r="M1001" s="9">
        <v>12.063700000000001</v>
      </c>
      <c r="N1001" s="9">
        <v>4.9444999999999997</v>
      </c>
      <c r="O1001" s="9">
        <v>0.37409999999999999</v>
      </c>
      <c r="P1001" s="9">
        <v>1.2927</v>
      </c>
      <c r="Q1001" s="9">
        <v>19.688099999999999</v>
      </c>
      <c r="R1001" s="9"/>
      <c r="S1001" s="11"/>
    </row>
    <row r="1002" spans="1:19" ht="15.75">
      <c r="A1002" s="13">
        <v>72014</v>
      </c>
      <c r="B1002" s="8">
        <f>37.2293 * CHOOSE(CONTROL!$C$15, $D$11, 100%, $F$11)</f>
        <v>37.229300000000002</v>
      </c>
      <c r="C1002" s="8">
        <f>37.2401 * CHOOSE(CONTROL!$C$15, $D$11, 100%, $F$11)</f>
        <v>37.240099999999998</v>
      </c>
      <c r="D1002" s="8">
        <f>37.2215 * CHOOSE( CONTROL!$C$15, $D$11, 100%, $F$11)</f>
        <v>37.221499999999999</v>
      </c>
      <c r="E1002" s="12">
        <f>37.2272 * CHOOSE( CONTROL!$C$15, $D$11, 100%, $F$11)</f>
        <v>37.227200000000003</v>
      </c>
      <c r="F1002" s="4">
        <f>37.8904 * CHOOSE(CONTROL!$C$15, $D$11, 100%, $F$11)</f>
        <v>37.8904</v>
      </c>
      <c r="G1002" s="8">
        <f>36.3913 * CHOOSE( CONTROL!$C$15, $D$11, 100%, $F$11)</f>
        <v>36.391300000000001</v>
      </c>
      <c r="H1002" s="4">
        <f>37.2795 * CHOOSE(CONTROL!$C$15, $D$11, 100%, $F$11)</f>
        <v>37.279499999999999</v>
      </c>
      <c r="I1002" s="8">
        <f>35.8661 * CHOOSE(CONTROL!$C$15, $D$11, 100%, $F$11)</f>
        <v>35.866100000000003</v>
      </c>
      <c r="J1002" s="4">
        <f>35.7294 * CHOOSE(CONTROL!$C$15, $D$11, 100%, $F$11)</f>
        <v>35.729399999999998</v>
      </c>
      <c r="K1002" s="4"/>
      <c r="L1002" s="9">
        <v>26.469899999999999</v>
      </c>
      <c r="M1002" s="9">
        <v>10.8962</v>
      </c>
      <c r="N1002" s="9">
        <v>4.4660000000000002</v>
      </c>
      <c r="O1002" s="9">
        <v>0.33789999999999998</v>
      </c>
      <c r="P1002" s="9">
        <v>1.1676</v>
      </c>
      <c r="Q1002" s="9">
        <v>17.782800000000002</v>
      </c>
      <c r="R1002" s="9"/>
      <c r="S1002" s="11"/>
    </row>
    <row r="1003" spans="1:19" ht="15.75">
      <c r="A1003" s="13">
        <v>72045</v>
      </c>
      <c r="B1003" s="8">
        <f>36.4371 * CHOOSE(CONTROL!$C$15, $D$11, 100%, $F$11)</f>
        <v>36.437100000000001</v>
      </c>
      <c r="C1003" s="8">
        <f>36.4479 * CHOOSE(CONTROL!$C$15, $D$11, 100%, $F$11)</f>
        <v>36.447899999999997</v>
      </c>
      <c r="D1003" s="8">
        <f>36.4288 * CHOOSE( CONTROL!$C$15, $D$11, 100%, $F$11)</f>
        <v>36.428800000000003</v>
      </c>
      <c r="E1003" s="12">
        <f>36.4346 * CHOOSE( CONTROL!$C$15, $D$11, 100%, $F$11)</f>
        <v>36.434600000000003</v>
      </c>
      <c r="F1003" s="4">
        <f>37.0982 * CHOOSE(CONTROL!$C$15, $D$11, 100%, $F$11)</f>
        <v>37.098199999999999</v>
      </c>
      <c r="G1003" s="8">
        <f>35.6164 * CHOOSE( CONTROL!$C$15, $D$11, 100%, $F$11)</f>
        <v>35.616399999999999</v>
      </c>
      <c r="H1003" s="4">
        <f>36.505 * CHOOSE(CONTROL!$C$15, $D$11, 100%, $F$11)</f>
        <v>36.505000000000003</v>
      </c>
      <c r="I1003" s="8">
        <f>35.1036 * CHOOSE(CONTROL!$C$15, $D$11, 100%, $F$11)</f>
        <v>35.1036</v>
      </c>
      <c r="J1003" s="4">
        <f>34.9688 * CHOOSE(CONTROL!$C$15, $D$11, 100%, $F$11)</f>
        <v>34.968800000000002</v>
      </c>
      <c r="K1003" s="4"/>
      <c r="L1003" s="9">
        <v>29.306000000000001</v>
      </c>
      <c r="M1003" s="9">
        <v>12.063700000000001</v>
      </c>
      <c r="N1003" s="9">
        <v>4.9444999999999997</v>
      </c>
      <c r="O1003" s="9">
        <v>0.37409999999999999</v>
      </c>
      <c r="P1003" s="9">
        <v>1.2927</v>
      </c>
      <c r="Q1003" s="9">
        <v>19.688099999999999</v>
      </c>
      <c r="R1003" s="9"/>
      <c r="S1003" s="11"/>
    </row>
    <row r="1004" spans="1:19" ht="15.75">
      <c r="A1004" s="13">
        <v>72075</v>
      </c>
      <c r="B1004" s="8">
        <f>36.9906 * CHOOSE(CONTROL!$C$15, $D$11, 100%, $F$11)</f>
        <v>36.990600000000001</v>
      </c>
      <c r="C1004" s="8">
        <f>37.0014 * CHOOSE(CONTROL!$C$15, $D$11, 100%, $F$11)</f>
        <v>37.001399999999997</v>
      </c>
      <c r="D1004" s="8">
        <f>37.0362 * CHOOSE( CONTROL!$C$15, $D$11, 100%, $F$11)</f>
        <v>37.036200000000001</v>
      </c>
      <c r="E1004" s="12">
        <f>37.0235 * CHOOSE( CONTROL!$C$15, $D$11, 100%, $F$11)</f>
        <v>37.023499999999999</v>
      </c>
      <c r="F1004" s="4">
        <f>37.7195 * CHOOSE(CONTROL!$C$15, $D$11, 100%, $F$11)</f>
        <v>37.719499999999996</v>
      </c>
      <c r="G1004" s="8">
        <f>36.1603 * CHOOSE( CONTROL!$C$15, $D$11, 100%, $F$11)</f>
        <v>36.160299999999999</v>
      </c>
      <c r="H1004" s="4">
        <f>37.1124 * CHOOSE(CONTROL!$C$15, $D$11, 100%, $F$11)</f>
        <v>37.112400000000001</v>
      </c>
      <c r="I1004" s="8">
        <f>35.6307 * CHOOSE(CONTROL!$C$15, $D$11, 100%, $F$11)</f>
        <v>35.630699999999997</v>
      </c>
      <c r="J1004" s="4">
        <f>35.5003 * CHOOSE(CONTROL!$C$15, $D$11, 100%, $F$11)</f>
        <v>35.500300000000003</v>
      </c>
      <c r="K1004" s="4"/>
      <c r="L1004" s="9">
        <v>30.092199999999998</v>
      </c>
      <c r="M1004" s="9">
        <v>11.6745</v>
      </c>
      <c r="N1004" s="9">
        <v>4.7850000000000001</v>
      </c>
      <c r="O1004" s="9">
        <v>0.36199999999999999</v>
      </c>
      <c r="P1004" s="9">
        <v>1.1791</v>
      </c>
      <c r="Q1004" s="9">
        <v>19.053000000000001</v>
      </c>
      <c r="R1004" s="9"/>
      <c r="S1004" s="11"/>
    </row>
    <row r="1005" spans="1:19" ht="15.75">
      <c r="A1005" s="13">
        <v>72106</v>
      </c>
      <c r="B1005" s="8">
        <f>CHOOSE( CONTROL!$C$32, 37.9781, 37.9758) * CHOOSE(CONTROL!$C$15, $D$11, 100%, $F$11)</f>
        <v>37.978099999999998</v>
      </c>
      <c r="C1005" s="8">
        <f>CHOOSE( CONTROL!$C$32, 37.9886, 37.9863) * CHOOSE(CONTROL!$C$15, $D$11, 100%, $F$11)</f>
        <v>37.988599999999998</v>
      </c>
      <c r="D1005" s="8">
        <f>CHOOSE( CONTROL!$C$32, 38.0225, 38.0202) * CHOOSE( CONTROL!$C$15, $D$11, 100%, $F$11)</f>
        <v>38.022500000000001</v>
      </c>
      <c r="E1005" s="12">
        <f>CHOOSE( CONTROL!$C$32, 38.0086, 38.0063) * CHOOSE( CONTROL!$C$15, $D$11, 100%, $F$11)</f>
        <v>38.008600000000001</v>
      </c>
      <c r="F1005" s="4">
        <f>CHOOSE( CONTROL!$C$32, 38.707, 38.7047) * CHOOSE(CONTROL!$C$15, $D$11, 100%, $F$11)</f>
        <v>38.707000000000001</v>
      </c>
      <c r="G1005" s="8">
        <f>CHOOSE( CONTROL!$C$32, 37.1264, 37.1241) * CHOOSE( CONTROL!$C$15, $D$11, 100%, $F$11)</f>
        <v>37.126399999999997</v>
      </c>
      <c r="H1005" s="4">
        <f>CHOOSE( CONTROL!$C$32, 38.0779, 38.0757) * CHOOSE(CONTROL!$C$15, $D$11, 100%, $F$11)</f>
        <v>38.0779</v>
      </c>
      <c r="I1005" s="8">
        <f>CHOOSE( CONTROL!$C$32, 36.5793, 36.5771) * CHOOSE(CONTROL!$C$15, $D$11, 100%, $F$11)</f>
        <v>36.579300000000003</v>
      </c>
      <c r="J1005" s="4">
        <f>CHOOSE( CONTROL!$C$32, 36.4484, 36.4462) * CHOOSE(CONTROL!$C$15, $D$11, 100%, $F$11)</f>
        <v>36.448399999999999</v>
      </c>
      <c r="K1005" s="4"/>
      <c r="L1005" s="9">
        <v>30.7165</v>
      </c>
      <c r="M1005" s="9">
        <v>12.063700000000001</v>
      </c>
      <c r="N1005" s="9">
        <v>4.9444999999999997</v>
      </c>
      <c r="O1005" s="9">
        <v>0.37409999999999999</v>
      </c>
      <c r="P1005" s="9">
        <v>1.2183999999999999</v>
      </c>
      <c r="Q1005" s="9">
        <v>19.688099999999999</v>
      </c>
      <c r="R1005" s="9"/>
      <c r="S1005" s="11"/>
    </row>
    <row r="1006" spans="1:19" ht="15.75">
      <c r="A1006" s="13">
        <v>72136</v>
      </c>
      <c r="B1006" s="8">
        <f>CHOOSE( CONTROL!$C$32, 37.3678, 37.3655) * CHOOSE(CONTROL!$C$15, $D$11, 100%, $F$11)</f>
        <v>37.367800000000003</v>
      </c>
      <c r="C1006" s="8">
        <f>CHOOSE( CONTROL!$C$32, 37.3783, 37.376) * CHOOSE(CONTROL!$C$15, $D$11, 100%, $F$11)</f>
        <v>37.378300000000003</v>
      </c>
      <c r="D1006" s="8">
        <f>CHOOSE( CONTROL!$C$32, 37.4123, 37.41) * CHOOSE( CONTROL!$C$15, $D$11, 100%, $F$11)</f>
        <v>37.412300000000002</v>
      </c>
      <c r="E1006" s="12">
        <f>CHOOSE( CONTROL!$C$32, 37.3984, 37.3961) * CHOOSE( CONTROL!$C$15, $D$11, 100%, $F$11)</f>
        <v>37.398400000000002</v>
      </c>
      <c r="F1006" s="4">
        <f>CHOOSE( CONTROL!$C$32, 38.0967, 38.0944) * CHOOSE(CONTROL!$C$15, $D$11, 100%, $F$11)</f>
        <v>38.096699999999998</v>
      </c>
      <c r="G1006" s="8">
        <f>CHOOSE( CONTROL!$C$32, 36.5299, 36.5276) * CHOOSE( CONTROL!$C$15, $D$11, 100%, $F$11)</f>
        <v>36.529899999999998</v>
      </c>
      <c r="H1006" s="4">
        <f>CHOOSE( CONTROL!$C$32, 37.4812, 37.479) * CHOOSE(CONTROL!$C$15, $D$11, 100%, $F$11)</f>
        <v>37.481200000000001</v>
      </c>
      <c r="I1006" s="8">
        <f>CHOOSE( CONTROL!$C$32, 35.9938, 35.9916) * CHOOSE(CONTROL!$C$15, $D$11, 100%, $F$11)</f>
        <v>35.9938</v>
      </c>
      <c r="J1006" s="4">
        <f>CHOOSE( CONTROL!$C$32, 35.8625, 35.8602) * CHOOSE(CONTROL!$C$15, $D$11, 100%, $F$11)</f>
        <v>35.862499999999997</v>
      </c>
      <c r="K1006" s="4"/>
      <c r="L1006" s="9">
        <v>29.7257</v>
      </c>
      <c r="M1006" s="9">
        <v>11.6745</v>
      </c>
      <c r="N1006" s="9">
        <v>4.7850000000000001</v>
      </c>
      <c r="O1006" s="9">
        <v>0.36199999999999999</v>
      </c>
      <c r="P1006" s="9">
        <v>1.1791</v>
      </c>
      <c r="Q1006" s="9">
        <v>19.053000000000001</v>
      </c>
      <c r="R1006" s="9"/>
      <c r="S1006" s="11"/>
    </row>
    <row r="1007" spans="1:19" ht="15.75">
      <c r="A1007" s="13">
        <v>72167</v>
      </c>
      <c r="B1007" s="8">
        <f>CHOOSE( CONTROL!$C$32, 38.975, 38.9727) * CHOOSE(CONTROL!$C$15, $D$11, 100%, $F$11)</f>
        <v>38.975000000000001</v>
      </c>
      <c r="C1007" s="8">
        <f>CHOOSE( CONTROL!$C$32, 38.9855, 38.9832) * CHOOSE(CONTROL!$C$15, $D$11, 100%, $F$11)</f>
        <v>38.985500000000002</v>
      </c>
      <c r="D1007" s="8">
        <f>CHOOSE( CONTROL!$C$32, 39.0197, 39.0174) * CHOOSE( CONTROL!$C$15, $D$11, 100%, $F$11)</f>
        <v>39.0197</v>
      </c>
      <c r="E1007" s="12">
        <f>CHOOSE( CONTROL!$C$32, 39.0057, 39.0034) * CHOOSE( CONTROL!$C$15, $D$11, 100%, $F$11)</f>
        <v>39.005699999999997</v>
      </c>
      <c r="F1007" s="4">
        <f>CHOOSE( CONTROL!$C$32, 39.7039, 39.7016) * CHOOSE(CONTROL!$C$15, $D$11, 100%, $F$11)</f>
        <v>39.703899999999997</v>
      </c>
      <c r="G1007" s="8">
        <f>CHOOSE( CONTROL!$C$32, 38.1016, 38.0993) * CHOOSE( CONTROL!$C$15, $D$11, 100%, $F$11)</f>
        <v>38.101599999999998</v>
      </c>
      <c r="H1007" s="4">
        <f>CHOOSE( CONTROL!$C$32, 39.0526, 39.0503) * CHOOSE(CONTROL!$C$15, $D$11, 100%, $F$11)</f>
        <v>39.052599999999998</v>
      </c>
      <c r="I1007" s="8">
        <f>CHOOSE( CONTROL!$C$32, 37.5387, 37.5365) * CHOOSE(CONTROL!$C$15, $D$11, 100%, $F$11)</f>
        <v>37.538699999999999</v>
      </c>
      <c r="J1007" s="4">
        <f>CHOOSE( CONTROL!$C$32, 37.4055, 37.4033) * CHOOSE(CONTROL!$C$15, $D$11, 100%, $F$11)</f>
        <v>37.405500000000004</v>
      </c>
      <c r="K1007" s="4"/>
      <c r="L1007" s="9">
        <v>30.7165</v>
      </c>
      <c r="M1007" s="9">
        <v>12.063700000000001</v>
      </c>
      <c r="N1007" s="9">
        <v>4.9444999999999997</v>
      </c>
      <c r="O1007" s="9">
        <v>0.37409999999999999</v>
      </c>
      <c r="P1007" s="9">
        <v>1.2183999999999999</v>
      </c>
      <c r="Q1007" s="9">
        <v>19.688099999999999</v>
      </c>
      <c r="R1007" s="9"/>
      <c r="S1007" s="11"/>
    </row>
    <row r="1008" spans="1:19" ht="15.75">
      <c r="A1008" s="13">
        <v>72198</v>
      </c>
      <c r="B1008" s="8">
        <f>CHOOSE( CONTROL!$C$32, 35.9677, 35.9654) * CHOOSE(CONTROL!$C$15, $D$11, 100%, $F$11)</f>
        <v>35.967700000000001</v>
      </c>
      <c r="C1008" s="8">
        <f>CHOOSE( CONTROL!$C$32, 35.9783, 35.976) * CHOOSE(CONTROL!$C$15, $D$11, 100%, $F$11)</f>
        <v>35.978299999999997</v>
      </c>
      <c r="D1008" s="8">
        <f>CHOOSE( CONTROL!$C$32, 36.0125, 36.0102) * CHOOSE( CONTROL!$C$15, $D$11, 100%, $F$11)</f>
        <v>36.012500000000003</v>
      </c>
      <c r="E1008" s="12">
        <f>CHOOSE( CONTROL!$C$32, 35.9985, 35.9962) * CHOOSE( CONTROL!$C$15, $D$11, 100%, $F$11)</f>
        <v>35.9985</v>
      </c>
      <c r="F1008" s="4">
        <f>CHOOSE( CONTROL!$C$32, 36.6967, 36.6944) * CHOOSE(CONTROL!$C$15, $D$11, 100%, $F$11)</f>
        <v>36.6967</v>
      </c>
      <c r="G1008" s="8">
        <f>CHOOSE( CONTROL!$C$32, 35.1615, 35.1592) * CHOOSE( CONTROL!$C$15, $D$11, 100%, $F$11)</f>
        <v>35.161499999999997</v>
      </c>
      <c r="H1008" s="4">
        <f>CHOOSE( CONTROL!$C$32, 36.1124, 36.1102) * CHOOSE(CONTROL!$C$15, $D$11, 100%, $F$11)</f>
        <v>36.112400000000001</v>
      </c>
      <c r="I1008" s="8">
        <f>CHOOSE( CONTROL!$C$32, 34.6502, 34.648) * CHOOSE(CONTROL!$C$15, $D$11, 100%, $F$11)</f>
        <v>34.650199999999998</v>
      </c>
      <c r="J1008" s="4">
        <f>CHOOSE( CONTROL!$C$32, 34.5183, 34.5161) * CHOOSE(CONTROL!$C$15, $D$11, 100%, $F$11)</f>
        <v>34.518300000000004</v>
      </c>
      <c r="K1008" s="4"/>
      <c r="L1008" s="9">
        <v>30.7165</v>
      </c>
      <c r="M1008" s="9">
        <v>12.063700000000001</v>
      </c>
      <c r="N1008" s="9">
        <v>4.9444999999999997</v>
      </c>
      <c r="O1008" s="9">
        <v>0.37409999999999999</v>
      </c>
      <c r="P1008" s="9">
        <v>1.2183999999999999</v>
      </c>
      <c r="Q1008" s="9">
        <v>19.688099999999999</v>
      </c>
      <c r="R1008" s="9"/>
      <c r="S1008" s="11"/>
    </row>
    <row r="1009" spans="1:19" ht="15.75">
      <c r="A1009" s="13">
        <v>72228</v>
      </c>
      <c r="B1009" s="8">
        <f>CHOOSE( CONTROL!$C$32, 35.2147, 35.2124) * CHOOSE(CONTROL!$C$15, $D$11, 100%, $F$11)</f>
        <v>35.214700000000001</v>
      </c>
      <c r="C1009" s="8">
        <f>CHOOSE( CONTROL!$C$32, 35.2252, 35.2229) * CHOOSE(CONTROL!$C$15, $D$11, 100%, $F$11)</f>
        <v>35.225200000000001</v>
      </c>
      <c r="D1009" s="8">
        <f>CHOOSE( CONTROL!$C$32, 35.2595, 35.2572) * CHOOSE( CONTROL!$C$15, $D$11, 100%, $F$11)</f>
        <v>35.259500000000003</v>
      </c>
      <c r="E1009" s="12">
        <f>CHOOSE( CONTROL!$C$32, 35.2455, 35.2432) * CHOOSE( CONTROL!$C$15, $D$11, 100%, $F$11)</f>
        <v>35.2455</v>
      </c>
      <c r="F1009" s="4">
        <f>CHOOSE( CONTROL!$C$32, 35.9436, 35.9413) * CHOOSE(CONTROL!$C$15, $D$11, 100%, $F$11)</f>
        <v>35.943600000000004</v>
      </c>
      <c r="G1009" s="8">
        <f>CHOOSE( CONTROL!$C$32, 34.4252, 34.4229) * CHOOSE( CONTROL!$C$15, $D$11, 100%, $F$11)</f>
        <v>34.425199999999997</v>
      </c>
      <c r="H1009" s="4">
        <f>CHOOSE( CONTROL!$C$32, 35.3761, 35.3739) * CHOOSE(CONTROL!$C$15, $D$11, 100%, $F$11)</f>
        <v>35.376100000000001</v>
      </c>
      <c r="I1009" s="8">
        <f>CHOOSE( CONTROL!$C$32, 33.9267, 33.9245) * CHOOSE(CONTROL!$C$15, $D$11, 100%, $F$11)</f>
        <v>33.926699999999997</v>
      </c>
      <c r="J1009" s="4">
        <f>CHOOSE( CONTROL!$C$32, 33.7953, 33.7931) * CHOOSE(CONTROL!$C$15, $D$11, 100%, $F$11)</f>
        <v>33.795299999999997</v>
      </c>
      <c r="K1009" s="4"/>
      <c r="L1009" s="9">
        <v>29.7257</v>
      </c>
      <c r="M1009" s="9">
        <v>11.6745</v>
      </c>
      <c r="N1009" s="9">
        <v>4.7850000000000001</v>
      </c>
      <c r="O1009" s="9">
        <v>0.36199999999999999</v>
      </c>
      <c r="P1009" s="9">
        <v>1.1791</v>
      </c>
      <c r="Q1009" s="9">
        <v>19.053000000000001</v>
      </c>
      <c r="R1009" s="9"/>
      <c r="S1009" s="11"/>
    </row>
    <row r="1010" spans="1:19" ht="15.75">
      <c r="A1010" s="13">
        <v>72259</v>
      </c>
      <c r="B1010" s="8">
        <f>36.7761 * CHOOSE(CONTROL!$C$15, $D$11, 100%, $F$11)</f>
        <v>36.7761</v>
      </c>
      <c r="C1010" s="8">
        <f>36.7868 * CHOOSE(CONTROL!$C$15, $D$11, 100%, $F$11)</f>
        <v>36.786799999999999</v>
      </c>
      <c r="D1010" s="8">
        <f>36.8222 * CHOOSE( CONTROL!$C$15, $D$11, 100%, $F$11)</f>
        <v>36.822200000000002</v>
      </c>
      <c r="E1010" s="12">
        <f>36.8094 * CHOOSE( CONTROL!$C$15, $D$11, 100%, $F$11)</f>
        <v>36.809399999999997</v>
      </c>
      <c r="F1010" s="4">
        <f>37.5049 * CHOOSE(CONTROL!$C$15, $D$11, 100%, $F$11)</f>
        <v>37.504899999999999</v>
      </c>
      <c r="G1010" s="8">
        <f>35.9515 * CHOOSE( CONTROL!$C$15, $D$11, 100%, $F$11)</f>
        <v>35.951500000000003</v>
      </c>
      <c r="H1010" s="4">
        <f>36.9026 * CHOOSE(CONTROL!$C$15, $D$11, 100%, $F$11)</f>
        <v>36.9026</v>
      </c>
      <c r="I1010" s="8">
        <f>35.4274 * CHOOSE(CONTROL!$C$15, $D$11, 100%, $F$11)</f>
        <v>35.427399999999999</v>
      </c>
      <c r="J1010" s="4">
        <f>35.2943 * CHOOSE(CONTROL!$C$15, $D$11, 100%, $F$11)</f>
        <v>35.2943</v>
      </c>
      <c r="K1010" s="4"/>
      <c r="L1010" s="9">
        <v>31.095300000000002</v>
      </c>
      <c r="M1010" s="9">
        <v>12.063700000000001</v>
      </c>
      <c r="N1010" s="9">
        <v>4.9444999999999997</v>
      </c>
      <c r="O1010" s="9">
        <v>0.37409999999999999</v>
      </c>
      <c r="P1010" s="9">
        <v>1.2183999999999999</v>
      </c>
      <c r="Q1010" s="9">
        <v>19.688099999999999</v>
      </c>
      <c r="R1010" s="9"/>
      <c r="S1010" s="11"/>
    </row>
    <row r="1011" spans="1:19" ht="15.75">
      <c r="A1011" s="13">
        <v>72289</v>
      </c>
      <c r="B1011" s="8">
        <f>39.6622 * CHOOSE(CONTROL!$C$15, $D$11, 100%, $F$11)</f>
        <v>39.662199999999999</v>
      </c>
      <c r="C1011" s="8">
        <f>39.6729 * CHOOSE(CONTROL!$C$15, $D$11, 100%, $F$11)</f>
        <v>39.672899999999998</v>
      </c>
      <c r="D1011" s="8">
        <f>39.649 * CHOOSE( CONTROL!$C$15, $D$11, 100%, $F$11)</f>
        <v>39.649000000000001</v>
      </c>
      <c r="E1011" s="12">
        <f>39.6566 * CHOOSE( CONTROL!$C$15, $D$11, 100%, $F$11)</f>
        <v>39.656599999999997</v>
      </c>
      <c r="F1011" s="4">
        <f>40.3233 * CHOOSE(CONTROL!$C$15, $D$11, 100%, $F$11)</f>
        <v>40.323300000000003</v>
      </c>
      <c r="G1011" s="8">
        <f>38.7731 * CHOOSE( CONTROL!$C$15, $D$11, 100%, $F$11)</f>
        <v>38.773099999999999</v>
      </c>
      <c r="H1011" s="4">
        <f>39.6581 * CHOOSE(CONTROL!$C$15, $D$11, 100%, $F$11)</f>
        <v>39.658099999999997</v>
      </c>
      <c r="I1011" s="8">
        <f>38.243 * CHOOSE(CONTROL!$C$15, $D$11, 100%, $F$11)</f>
        <v>38.243000000000002</v>
      </c>
      <c r="J1011" s="4">
        <f>38.0652 * CHOOSE(CONTROL!$C$15, $D$11, 100%, $F$11)</f>
        <v>38.065199999999997</v>
      </c>
      <c r="K1011" s="4"/>
      <c r="L1011" s="9">
        <v>28.360600000000002</v>
      </c>
      <c r="M1011" s="9">
        <v>11.6745</v>
      </c>
      <c r="N1011" s="9">
        <v>4.7850000000000001</v>
      </c>
      <c r="O1011" s="9">
        <v>0.36199999999999999</v>
      </c>
      <c r="P1011" s="9">
        <v>1.2509999999999999</v>
      </c>
      <c r="Q1011" s="9">
        <v>19.053000000000001</v>
      </c>
      <c r="R1011" s="9"/>
      <c r="S1011" s="11"/>
    </row>
    <row r="1012" spans="1:19" ht="15.75">
      <c r="A1012" s="13">
        <v>72320</v>
      </c>
      <c r="B1012" s="8">
        <f>39.5901 * CHOOSE(CONTROL!$C$15, $D$11, 100%, $F$11)</f>
        <v>39.5901</v>
      </c>
      <c r="C1012" s="8">
        <f>39.6008 * CHOOSE(CONTROL!$C$15, $D$11, 100%, $F$11)</f>
        <v>39.6008</v>
      </c>
      <c r="D1012" s="8">
        <f>39.5786 * CHOOSE( CONTROL!$C$15, $D$11, 100%, $F$11)</f>
        <v>39.578600000000002</v>
      </c>
      <c r="E1012" s="12">
        <f>39.5856 * CHOOSE( CONTROL!$C$15, $D$11, 100%, $F$11)</f>
        <v>39.585599999999999</v>
      </c>
      <c r="F1012" s="4">
        <f>40.2512 * CHOOSE(CONTROL!$C$15, $D$11, 100%, $F$11)</f>
        <v>40.251199999999997</v>
      </c>
      <c r="G1012" s="8">
        <f>38.7039 * CHOOSE( CONTROL!$C$15, $D$11, 100%, $F$11)</f>
        <v>38.703899999999997</v>
      </c>
      <c r="H1012" s="4">
        <f>39.5876 * CHOOSE(CONTROL!$C$15, $D$11, 100%, $F$11)</f>
        <v>39.587600000000002</v>
      </c>
      <c r="I1012" s="8">
        <f>38.1789 * CHOOSE(CONTROL!$C$15, $D$11, 100%, $F$11)</f>
        <v>38.178899999999999</v>
      </c>
      <c r="J1012" s="4">
        <f>37.996 * CHOOSE(CONTROL!$C$15, $D$11, 100%, $F$11)</f>
        <v>37.996000000000002</v>
      </c>
      <c r="K1012" s="4"/>
      <c r="L1012" s="9">
        <v>29.306000000000001</v>
      </c>
      <c r="M1012" s="9">
        <v>12.063700000000001</v>
      </c>
      <c r="N1012" s="9">
        <v>4.9444999999999997</v>
      </c>
      <c r="O1012" s="9">
        <v>0.37409999999999999</v>
      </c>
      <c r="P1012" s="9">
        <v>1.2927</v>
      </c>
      <c r="Q1012" s="9">
        <v>19.688099999999999</v>
      </c>
      <c r="R1012" s="9"/>
      <c r="S1012" s="11"/>
    </row>
    <row r="1013" spans="1:19" ht="15.75">
      <c r="A1013" s="13">
        <v>72351</v>
      </c>
      <c r="B1013" s="8">
        <f>40.7574 * CHOOSE(CONTROL!$C$15, $D$11, 100%, $F$11)</f>
        <v>40.757399999999997</v>
      </c>
      <c r="C1013" s="8">
        <f>40.7682 * CHOOSE(CONTROL!$C$15, $D$11, 100%, $F$11)</f>
        <v>40.7682</v>
      </c>
      <c r="D1013" s="8">
        <f>40.7498 * CHOOSE( CONTROL!$C$15, $D$11, 100%, $F$11)</f>
        <v>40.7498</v>
      </c>
      <c r="E1013" s="12">
        <f>40.7554 * CHOOSE( CONTROL!$C$15, $D$11, 100%, $F$11)</f>
        <v>40.755400000000002</v>
      </c>
      <c r="F1013" s="4">
        <f>41.4185 * CHOOSE(CONTROL!$C$15, $D$11, 100%, $F$11)</f>
        <v>41.418500000000002</v>
      </c>
      <c r="G1013" s="8">
        <f>39.8408 * CHOOSE( CONTROL!$C$15, $D$11, 100%, $F$11)</f>
        <v>39.840800000000002</v>
      </c>
      <c r="H1013" s="4">
        <f>40.7289 * CHOOSE(CONTROL!$C$15, $D$11, 100%, $F$11)</f>
        <v>40.728900000000003</v>
      </c>
      <c r="I1013" s="8">
        <f>39.2556 * CHOOSE(CONTROL!$C$15, $D$11, 100%, $F$11)</f>
        <v>39.255600000000001</v>
      </c>
      <c r="J1013" s="4">
        <f>39.1167 * CHOOSE(CONTROL!$C$15, $D$11, 100%, $F$11)</f>
        <v>39.116700000000002</v>
      </c>
      <c r="K1013" s="4"/>
      <c r="L1013" s="9">
        <v>29.306000000000001</v>
      </c>
      <c r="M1013" s="9">
        <v>12.063700000000001</v>
      </c>
      <c r="N1013" s="9">
        <v>4.9444999999999997</v>
      </c>
      <c r="O1013" s="9">
        <v>0.37409999999999999</v>
      </c>
      <c r="P1013" s="9">
        <v>1.2927</v>
      </c>
      <c r="Q1013" s="9">
        <v>19.688099999999999</v>
      </c>
      <c r="R1013" s="9"/>
      <c r="S1013" s="11"/>
    </row>
    <row r="1014" spans="1:19" ht="15.75">
      <c r="A1014" s="13">
        <v>72379</v>
      </c>
      <c r="B1014" s="8">
        <f>38.1235 * CHOOSE(CONTROL!$C$15, $D$11, 100%, $F$11)</f>
        <v>38.1235</v>
      </c>
      <c r="C1014" s="8">
        <f>38.1342 * CHOOSE(CONTROL!$C$15, $D$11, 100%, $F$11)</f>
        <v>38.1342</v>
      </c>
      <c r="D1014" s="8">
        <f>38.1157 * CHOOSE( CONTROL!$C$15, $D$11, 100%, $F$11)</f>
        <v>38.115699999999997</v>
      </c>
      <c r="E1014" s="12">
        <f>38.1213 * CHOOSE( CONTROL!$C$15, $D$11, 100%, $F$11)</f>
        <v>38.121299999999998</v>
      </c>
      <c r="F1014" s="4">
        <f>38.7846 * CHOOSE(CONTROL!$C$15, $D$11, 100%, $F$11)</f>
        <v>38.784599999999998</v>
      </c>
      <c r="G1014" s="8">
        <f>37.2655 * CHOOSE( CONTROL!$C$15, $D$11, 100%, $F$11)</f>
        <v>37.265500000000003</v>
      </c>
      <c r="H1014" s="4">
        <f>38.1538 * CHOOSE(CONTROL!$C$15, $D$11, 100%, $F$11)</f>
        <v>38.153799999999997</v>
      </c>
      <c r="I1014" s="8">
        <f>36.725 * CHOOSE(CONTROL!$C$15, $D$11, 100%, $F$11)</f>
        <v>36.725000000000001</v>
      </c>
      <c r="J1014" s="4">
        <f>36.5879 * CHOOSE(CONTROL!$C$15, $D$11, 100%, $F$11)</f>
        <v>36.587899999999998</v>
      </c>
      <c r="K1014" s="4"/>
      <c r="L1014" s="9">
        <v>26.469899999999999</v>
      </c>
      <c r="M1014" s="9">
        <v>10.8962</v>
      </c>
      <c r="N1014" s="9">
        <v>4.4660000000000002</v>
      </c>
      <c r="O1014" s="9">
        <v>0.33789999999999998</v>
      </c>
      <c r="P1014" s="9">
        <v>1.1676</v>
      </c>
      <c r="Q1014" s="9">
        <v>17.782800000000002</v>
      </c>
      <c r="R1014" s="9"/>
      <c r="S1014" s="11"/>
    </row>
    <row r="1015" spans="1:19" ht="15.75">
      <c r="A1015" s="13">
        <v>72410</v>
      </c>
      <c r="B1015" s="8">
        <f>37.3122 * CHOOSE(CONTROL!$C$15, $D$11, 100%, $F$11)</f>
        <v>37.312199999999997</v>
      </c>
      <c r="C1015" s="8">
        <f>37.323 * CHOOSE(CONTROL!$C$15, $D$11, 100%, $F$11)</f>
        <v>37.323</v>
      </c>
      <c r="D1015" s="8">
        <f>37.3039 * CHOOSE( CONTROL!$C$15, $D$11, 100%, $F$11)</f>
        <v>37.303899999999999</v>
      </c>
      <c r="E1015" s="12">
        <f>37.3097 * CHOOSE( CONTROL!$C$15, $D$11, 100%, $F$11)</f>
        <v>37.309699999999999</v>
      </c>
      <c r="F1015" s="4">
        <f>37.9733 * CHOOSE(CONTROL!$C$15, $D$11, 100%, $F$11)</f>
        <v>37.973300000000002</v>
      </c>
      <c r="G1015" s="8">
        <f>36.472 * CHOOSE( CONTROL!$C$15, $D$11, 100%, $F$11)</f>
        <v>36.472000000000001</v>
      </c>
      <c r="H1015" s="4">
        <f>37.3606 * CHOOSE(CONTROL!$C$15, $D$11, 100%, $F$11)</f>
        <v>37.360599999999998</v>
      </c>
      <c r="I1015" s="8">
        <f>35.9443 * CHOOSE(CONTROL!$C$15, $D$11, 100%, $F$11)</f>
        <v>35.944299999999998</v>
      </c>
      <c r="J1015" s="4">
        <f>35.809 * CHOOSE(CONTROL!$C$15, $D$11, 100%, $F$11)</f>
        <v>35.808999999999997</v>
      </c>
      <c r="K1015" s="4"/>
      <c r="L1015" s="9">
        <v>29.306000000000001</v>
      </c>
      <c r="M1015" s="9">
        <v>12.063700000000001</v>
      </c>
      <c r="N1015" s="9">
        <v>4.9444999999999997</v>
      </c>
      <c r="O1015" s="9">
        <v>0.37409999999999999</v>
      </c>
      <c r="P1015" s="9">
        <v>1.2927</v>
      </c>
      <c r="Q1015" s="9">
        <v>19.688099999999999</v>
      </c>
      <c r="R1015" s="9"/>
      <c r="S1015" s="11"/>
    </row>
    <row r="1016" spans="1:19" ht="15.75">
      <c r="A1016" s="13">
        <v>72440</v>
      </c>
      <c r="B1016" s="8">
        <f>37.8791 * CHOOSE(CONTROL!$C$15, $D$11, 100%, $F$11)</f>
        <v>37.879100000000001</v>
      </c>
      <c r="C1016" s="8">
        <f>37.8899 * CHOOSE(CONTROL!$C$15, $D$11, 100%, $F$11)</f>
        <v>37.889899999999997</v>
      </c>
      <c r="D1016" s="8">
        <f>37.9246 * CHOOSE( CONTROL!$C$15, $D$11, 100%, $F$11)</f>
        <v>37.924599999999998</v>
      </c>
      <c r="E1016" s="12">
        <f>37.9119 * CHOOSE( CONTROL!$C$15, $D$11, 100%, $F$11)</f>
        <v>37.911900000000003</v>
      </c>
      <c r="F1016" s="4">
        <f>38.6079 * CHOOSE(CONTROL!$C$15, $D$11, 100%, $F$11)</f>
        <v>38.607900000000001</v>
      </c>
      <c r="G1016" s="8">
        <f>37.029 * CHOOSE( CONTROL!$C$15, $D$11, 100%, $F$11)</f>
        <v>37.029000000000003</v>
      </c>
      <c r="H1016" s="4">
        <f>37.981 * CHOOSE(CONTROL!$C$15, $D$11, 100%, $F$11)</f>
        <v>37.981000000000002</v>
      </c>
      <c r="I1016" s="8">
        <f>36.4841 * CHOOSE(CONTROL!$C$15, $D$11, 100%, $F$11)</f>
        <v>36.484099999999998</v>
      </c>
      <c r="J1016" s="4">
        <f>36.3533 * CHOOSE(CONTROL!$C$15, $D$11, 100%, $F$11)</f>
        <v>36.353299999999997</v>
      </c>
      <c r="K1016" s="4"/>
      <c r="L1016" s="9">
        <v>30.092199999999998</v>
      </c>
      <c r="M1016" s="9">
        <v>11.6745</v>
      </c>
      <c r="N1016" s="9">
        <v>4.7850000000000001</v>
      </c>
      <c r="O1016" s="9">
        <v>0.36199999999999999</v>
      </c>
      <c r="P1016" s="9">
        <v>1.1791</v>
      </c>
      <c r="Q1016" s="9">
        <v>19.053000000000001</v>
      </c>
      <c r="R1016" s="9"/>
      <c r="S1016" s="11"/>
    </row>
    <row r="1017" spans="1:19" ht="15.75">
      <c r="A1017" s="13">
        <v>72471</v>
      </c>
      <c r="B1017" s="8">
        <f>CHOOSE( CONTROL!$C$32, 38.8902, 38.8879) * CHOOSE(CONTROL!$C$15, $D$11, 100%, $F$11)</f>
        <v>38.8902</v>
      </c>
      <c r="C1017" s="8">
        <f>CHOOSE( CONTROL!$C$32, 38.9008, 38.8985) * CHOOSE(CONTROL!$C$15, $D$11, 100%, $F$11)</f>
        <v>38.900799999999997</v>
      </c>
      <c r="D1017" s="8">
        <f>CHOOSE( CONTROL!$C$32, 38.9346, 38.9323) * CHOOSE( CONTROL!$C$15, $D$11, 100%, $F$11)</f>
        <v>38.934600000000003</v>
      </c>
      <c r="E1017" s="12">
        <f>CHOOSE( CONTROL!$C$32, 38.9207, 38.9184) * CHOOSE( CONTROL!$C$15, $D$11, 100%, $F$11)</f>
        <v>38.920699999999997</v>
      </c>
      <c r="F1017" s="4">
        <f>CHOOSE( CONTROL!$C$32, 39.6191, 39.6168) * CHOOSE(CONTROL!$C$15, $D$11, 100%, $F$11)</f>
        <v>39.619100000000003</v>
      </c>
      <c r="G1017" s="8">
        <f>CHOOSE( CONTROL!$C$32, 38.0181, 38.0159) * CHOOSE( CONTROL!$C$15, $D$11, 100%, $F$11)</f>
        <v>38.018099999999997</v>
      </c>
      <c r="H1017" s="4">
        <f>CHOOSE( CONTROL!$C$32, 38.9697, 38.9675) * CHOOSE(CONTROL!$C$15, $D$11, 100%, $F$11)</f>
        <v>38.969700000000003</v>
      </c>
      <c r="I1017" s="8">
        <f>CHOOSE( CONTROL!$C$32, 37.4555, 37.4533) * CHOOSE(CONTROL!$C$15, $D$11, 100%, $F$11)</f>
        <v>37.455500000000001</v>
      </c>
      <c r="J1017" s="4">
        <f>CHOOSE( CONTROL!$C$32, 37.3241, 37.3219) * CHOOSE(CONTROL!$C$15, $D$11, 100%, $F$11)</f>
        <v>37.324100000000001</v>
      </c>
      <c r="K1017" s="4"/>
      <c r="L1017" s="9">
        <v>30.7165</v>
      </c>
      <c r="M1017" s="9">
        <v>12.063700000000001</v>
      </c>
      <c r="N1017" s="9">
        <v>4.9444999999999997</v>
      </c>
      <c r="O1017" s="9">
        <v>0.37409999999999999</v>
      </c>
      <c r="P1017" s="9">
        <v>1.2183999999999999</v>
      </c>
      <c r="Q1017" s="9">
        <v>19.688099999999999</v>
      </c>
      <c r="R1017" s="9"/>
      <c r="S1017" s="11"/>
    </row>
    <row r="1018" spans="1:19" ht="15.75">
      <c r="A1018" s="13">
        <v>72501</v>
      </c>
      <c r="B1018" s="8">
        <f>CHOOSE( CONTROL!$C$32, 38.2652, 38.2629) * CHOOSE(CONTROL!$C$15, $D$11, 100%, $F$11)</f>
        <v>38.2652</v>
      </c>
      <c r="C1018" s="8">
        <f>CHOOSE( CONTROL!$C$32, 38.2758, 38.2735) * CHOOSE(CONTROL!$C$15, $D$11, 100%, $F$11)</f>
        <v>38.275799999999997</v>
      </c>
      <c r="D1018" s="8">
        <f>CHOOSE( CONTROL!$C$32, 38.3098, 38.3075) * CHOOSE( CONTROL!$C$15, $D$11, 100%, $F$11)</f>
        <v>38.309800000000003</v>
      </c>
      <c r="E1018" s="12">
        <f>CHOOSE( CONTROL!$C$32, 38.2959, 38.2936) * CHOOSE( CONTROL!$C$15, $D$11, 100%, $F$11)</f>
        <v>38.295900000000003</v>
      </c>
      <c r="F1018" s="4">
        <f>CHOOSE( CONTROL!$C$32, 38.9941, 38.9918) * CHOOSE(CONTROL!$C$15, $D$11, 100%, $F$11)</f>
        <v>38.994100000000003</v>
      </c>
      <c r="G1018" s="8">
        <f>CHOOSE( CONTROL!$C$32, 37.4073, 37.4051) * CHOOSE( CONTROL!$C$15, $D$11, 100%, $F$11)</f>
        <v>37.407299999999999</v>
      </c>
      <c r="H1018" s="4">
        <f>CHOOSE( CONTROL!$C$32, 38.3587, 38.3564) * CHOOSE(CONTROL!$C$15, $D$11, 100%, $F$11)</f>
        <v>38.358699999999999</v>
      </c>
      <c r="I1018" s="8">
        <f>CHOOSE( CONTROL!$C$32, 36.8559, 36.8537) * CHOOSE(CONTROL!$C$15, $D$11, 100%, $F$11)</f>
        <v>36.855899999999998</v>
      </c>
      <c r="J1018" s="4">
        <f>CHOOSE( CONTROL!$C$32, 36.7241, 36.7219) * CHOOSE(CONTROL!$C$15, $D$11, 100%, $F$11)</f>
        <v>36.7241</v>
      </c>
      <c r="K1018" s="4"/>
      <c r="L1018" s="9">
        <v>29.7257</v>
      </c>
      <c r="M1018" s="9">
        <v>11.6745</v>
      </c>
      <c r="N1018" s="9">
        <v>4.7850000000000001</v>
      </c>
      <c r="O1018" s="9">
        <v>0.36199999999999999</v>
      </c>
      <c r="P1018" s="9">
        <v>1.1791</v>
      </c>
      <c r="Q1018" s="9">
        <v>19.053000000000001</v>
      </c>
      <c r="R1018" s="9"/>
      <c r="S1018" s="11"/>
    </row>
    <row r="1019" spans="1:19" ht="15.75">
      <c r="A1019" s="13">
        <v>72532</v>
      </c>
      <c r="B1019" s="8">
        <f>CHOOSE( CONTROL!$C$32, 39.911, 39.9087) * CHOOSE(CONTROL!$C$15, $D$11, 100%, $F$11)</f>
        <v>39.911000000000001</v>
      </c>
      <c r="C1019" s="8">
        <f>CHOOSE( CONTROL!$C$32, 39.9216, 39.9193) * CHOOSE(CONTROL!$C$15, $D$11, 100%, $F$11)</f>
        <v>39.921599999999998</v>
      </c>
      <c r="D1019" s="8">
        <f>CHOOSE( CONTROL!$C$32, 39.9558, 39.9535) * CHOOSE( CONTROL!$C$15, $D$11, 100%, $F$11)</f>
        <v>39.955800000000004</v>
      </c>
      <c r="E1019" s="12">
        <f>CHOOSE( CONTROL!$C$32, 39.9418, 39.9395) * CHOOSE( CONTROL!$C$15, $D$11, 100%, $F$11)</f>
        <v>39.941800000000001</v>
      </c>
      <c r="F1019" s="4">
        <f>CHOOSE( CONTROL!$C$32, 40.64, 40.6377) * CHOOSE(CONTROL!$C$15, $D$11, 100%, $F$11)</f>
        <v>40.64</v>
      </c>
      <c r="G1019" s="8">
        <f>CHOOSE( CONTROL!$C$32, 39.0167, 39.0145) * CHOOSE( CONTROL!$C$15, $D$11, 100%, $F$11)</f>
        <v>39.0167</v>
      </c>
      <c r="H1019" s="4">
        <f>CHOOSE( CONTROL!$C$32, 39.9678, 39.9655) * CHOOSE(CONTROL!$C$15, $D$11, 100%, $F$11)</f>
        <v>39.967799999999997</v>
      </c>
      <c r="I1019" s="8">
        <f>CHOOSE( CONTROL!$C$32, 38.4378, 38.4356) * CHOOSE(CONTROL!$C$15, $D$11, 100%, $F$11)</f>
        <v>38.437800000000003</v>
      </c>
      <c r="J1019" s="4">
        <f>CHOOSE( CONTROL!$C$32, 38.3042, 38.302) * CHOOSE(CONTROL!$C$15, $D$11, 100%, $F$11)</f>
        <v>38.304200000000002</v>
      </c>
      <c r="K1019" s="4"/>
      <c r="L1019" s="9">
        <v>30.7165</v>
      </c>
      <c r="M1019" s="9">
        <v>12.063700000000001</v>
      </c>
      <c r="N1019" s="9">
        <v>4.9444999999999997</v>
      </c>
      <c r="O1019" s="9">
        <v>0.37409999999999999</v>
      </c>
      <c r="P1019" s="9">
        <v>1.2183999999999999</v>
      </c>
      <c r="Q1019" s="9">
        <v>19.688099999999999</v>
      </c>
      <c r="R1019" s="9"/>
      <c r="S1019" s="11"/>
    </row>
    <row r="1020" spans="1:19" ht="15.75">
      <c r="A1020" s="13">
        <v>72563</v>
      </c>
      <c r="B1020" s="8">
        <f>CHOOSE( CONTROL!$C$32, 36.8315, 36.8292) * CHOOSE(CONTROL!$C$15, $D$11, 100%, $F$11)</f>
        <v>36.831499999999998</v>
      </c>
      <c r="C1020" s="8">
        <f>CHOOSE( CONTROL!$C$32, 36.8421, 36.8398) * CHOOSE(CONTROL!$C$15, $D$11, 100%, $F$11)</f>
        <v>36.842100000000002</v>
      </c>
      <c r="D1020" s="8">
        <f>CHOOSE( CONTROL!$C$32, 36.8763, 36.874) * CHOOSE( CONTROL!$C$15, $D$11, 100%, $F$11)</f>
        <v>36.876300000000001</v>
      </c>
      <c r="E1020" s="12">
        <f>CHOOSE( CONTROL!$C$32, 36.8623, 36.86) * CHOOSE( CONTROL!$C$15, $D$11, 100%, $F$11)</f>
        <v>36.862299999999998</v>
      </c>
      <c r="F1020" s="4">
        <f>CHOOSE( CONTROL!$C$32, 37.5605, 37.5582) * CHOOSE(CONTROL!$C$15, $D$11, 100%, $F$11)</f>
        <v>37.560499999999998</v>
      </c>
      <c r="G1020" s="8">
        <f>CHOOSE( CONTROL!$C$32, 36.006, 36.0038) * CHOOSE( CONTROL!$C$15, $D$11, 100%, $F$11)</f>
        <v>36.006</v>
      </c>
      <c r="H1020" s="4">
        <f>CHOOSE( CONTROL!$C$32, 36.9569, 36.9547) * CHOOSE(CONTROL!$C$15, $D$11, 100%, $F$11)</f>
        <v>36.956899999999997</v>
      </c>
      <c r="I1020" s="8">
        <f>CHOOSE( CONTROL!$C$32, 35.48, 35.4778) * CHOOSE(CONTROL!$C$15, $D$11, 100%, $F$11)</f>
        <v>35.479999999999997</v>
      </c>
      <c r="J1020" s="4">
        <f>CHOOSE( CONTROL!$C$32, 35.3476, 35.3454) * CHOOSE(CONTROL!$C$15, $D$11, 100%, $F$11)</f>
        <v>35.3476</v>
      </c>
      <c r="K1020" s="4"/>
      <c r="L1020" s="9">
        <v>30.7165</v>
      </c>
      <c r="M1020" s="9">
        <v>12.063700000000001</v>
      </c>
      <c r="N1020" s="9">
        <v>4.9444999999999997</v>
      </c>
      <c r="O1020" s="9">
        <v>0.37409999999999999</v>
      </c>
      <c r="P1020" s="9">
        <v>1.2183999999999999</v>
      </c>
      <c r="Q1020" s="9">
        <v>19.688099999999999</v>
      </c>
      <c r="R1020" s="9"/>
      <c r="S1020" s="11"/>
    </row>
    <row r="1021" spans="1:19" ht="15.75">
      <c r="A1021" s="13">
        <v>72593</v>
      </c>
      <c r="B1021" s="8">
        <f>CHOOSE( CONTROL!$C$32, 36.0604, 36.0581) * CHOOSE(CONTROL!$C$15, $D$11, 100%, $F$11)</f>
        <v>36.060400000000001</v>
      </c>
      <c r="C1021" s="8">
        <f>CHOOSE( CONTROL!$C$32, 36.0709, 36.0686) * CHOOSE(CONTROL!$C$15, $D$11, 100%, $F$11)</f>
        <v>36.070900000000002</v>
      </c>
      <c r="D1021" s="8">
        <f>CHOOSE( CONTROL!$C$32, 36.1052, 36.1029) * CHOOSE( CONTROL!$C$15, $D$11, 100%, $F$11)</f>
        <v>36.105200000000004</v>
      </c>
      <c r="E1021" s="12">
        <f>CHOOSE( CONTROL!$C$32, 36.0912, 36.0889) * CHOOSE( CONTROL!$C$15, $D$11, 100%, $F$11)</f>
        <v>36.091200000000001</v>
      </c>
      <c r="F1021" s="4">
        <f>CHOOSE( CONTROL!$C$32, 36.7893, 36.787) * CHOOSE(CONTROL!$C$15, $D$11, 100%, $F$11)</f>
        <v>36.789299999999997</v>
      </c>
      <c r="G1021" s="8">
        <f>CHOOSE( CONTROL!$C$32, 35.252, 35.2498) * CHOOSE( CONTROL!$C$15, $D$11, 100%, $F$11)</f>
        <v>35.252000000000002</v>
      </c>
      <c r="H1021" s="4">
        <f>CHOOSE( CONTROL!$C$32, 36.203, 36.2007) * CHOOSE(CONTROL!$C$15, $D$11, 100%, $F$11)</f>
        <v>36.203000000000003</v>
      </c>
      <c r="I1021" s="8">
        <f>CHOOSE( CONTROL!$C$32, 34.7391, 34.7369) * CHOOSE(CONTROL!$C$15, $D$11, 100%, $F$11)</f>
        <v>34.739100000000001</v>
      </c>
      <c r="J1021" s="4">
        <f>CHOOSE( CONTROL!$C$32, 34.6072, 34.605) * CHOOSE(CONTROL!$C$15, $D$11, 100%, $F$11)</f>
        <v>34.607199999999999</v>
      </c>
      <c r="K1021" s="4"/>
      <c r="L1021" s="9">
        <v>29.7257</v>
      </c>
      <c r="M1021" s="9">
        <v>11.6745</v>
      </c>
      <c r="N1021" s="9">
        <v>4.7850000000000001</v>
      </c>
      <c r="O1021" s="9">
        <v>0.36199999999999999</v>
      </c>
      <c r="P1021" s="9">
        <v>1.1791</v>
      </c>
      <c r="Q1021" s="9">
        <v>19.053000000000001</v>
      </c>
      <c r="R1021" s="9"/>
      <c r="S1021" s="11"/>
    </row>
    <row r="1022" spans="1:19" ht="15.75">
      <c r="A1022" s="13">
        <v>72624</v>
      </c>
      <c r="B1022" s="8">
        <f>37.6593 * CHOOSE(CONTROL!$C$15, $D$11, 100%, $F$11)</f>
        <v>37.659300000000002</v>
      </c>
      <c r="C1022" s="8">
        <f>37.6701 * CHOOSE(CONTROL!$C$15, $D$11, 100%, $F$11)</f>
        <v>37.670099999999998</v>
      </c>
      <c r="D1022" s="8">
        <f>37.7055 * CHOOSE( CONTROL!$C$15, $D$11, 100%, $F$11)</f>
        <v>37.705500000000001</v>
      </c>
      <c r="E1022" s="12">
        <f>37.6927 * CHOOSE( CONTROL!$C$15, $D$11, 100%, $F$11)</f>
        <v>37.692700000000002</v>
      </c>
      <c r="F1022" s="4">
        <f>38.3882 * CHOOSE(CONTROL!$C$15, $D$11, 100%, $F$11)</f>
        <v>38.388199999999998</v>
      </c>
      <c r="G1022" s="8">
        <f>36.815 * CHOOSE( CONTROL!$C$15, $D$11, 100%, $F$11)</f>
        <v>36.814999999999998</v>
      </c>
      <c r="H1022" s="4">
        <f>37.7662 * CHOOSE(CONTROL!$C$15, $D$11, 100%, $F$11)</f>
        <v>37.766199999999998</v>
      </c>
      <c r="I1022" s="8">
        <f>36.2758 * CHOOSE(CONTROL!$C$15, $D$11, 100%, $F$11)</f>
        <v>36.275799999999997</v>
      </c>
      <c r="J1022" s="4">
        <f>36.1423 * CHOOSE(CONTROL!$C$15, $D$11, 100%, $F$11)</f>
        <v>36.142299999999999</v>
      </c>
      <c r="K1022" s="4"/>
      <c r="L1022" s="9">
        <v>31.095300000000002</v>
      </c>
      <c r="M1022" s="9">
        <v>12.063700000000001</v>
      </c>
      <c r="N1022" s="9">
        <v>4.9444999999999997</v>
      </c>
      <c r="O1022" s="9">
        <v>0.37409999999999999</v>
      </c>
      <c r="P1022" s="9">
        <v>1.2183999999999999</v>
      </c>
      <c r="Q1022" s="9">
        <v>19.688099999999999</v>
      </c>
      <c r="R1022" s="9"/>
      <c r="S1022" s="11"/>
    </row>
    <row r="1023" spans="1:19" ht="15.75">
      <c r="A1023" s="13">
        <v>72654</v>
      </c>
      <c r="B1023" s="8">
        <f>40.6148 * CHOOSE(CONTROL!$C$15, $D$11, 100%, $F$11)</f>
        <v>40.614800000000002</v>
      </c>
      <c r="C1023" s="8">
        <f>40.6255 * CHOOSE(CONTROL!$C$15, $D$11, 100%, $F$11)</f>
        <v>40.625500000000002</v>
      </c>
      <c r="D1023" s="8">
        <f>40.6016 * CHOOSE( CONTROL!$C$15, $D$11, 100%, $F$11)</f>
        <v>40.601599999999998</v>
      </c>
      <c r="E1023" s="12">
        <f>40.6092 * CHOOSE( CONTROL!$C$15, $D$11, 100%, $F$11)</f>
        <v>40.609200000000001</v>
      </c>
      <c r="F1023" s="4">
        <f>41.2759 * CHOOSE(CONTROL!$C$15, $D$11, 100%, $F$11)</f>
        <v>41.2759</v>
      </c>
      <c r="G1023" s="8">
        <f>39.7045 * CHOOSE( CONTROL!$C$15, $D$11, 100%, $F$11)</f>
        <v>39.704500000000003</v>
      </c>
      <c r="H1023" s="4">
        <f>40.5895 * CHOOSE(CONTROL!$C$15, $D$11, 100%, $F$11)</f>
        <v>40.589500000000001</v>
      </c>
      <c r="I1023" s="8">
        <f>39.1581 * CHOOSE(CONTROL!$C$15, $D$11, 100%, $F$11)</f>
        <v>39.158099999999997</v>
      </c>
      <c r="J1023" s="4">
        <f>38.9798 * CHOOSE(CONTROL!$C$15, $D$11, 100%, $F$11)</f>
        <v>38.979799999999997</v>
      </c>
      <c r="K1023" s="4"/>
      <c r="L1023" s="9">
        <v>28.360600000000002</v>
      </c>
      <c r="M1023" s="9">
        <v>11.6745</v>
      </c>
      <c r="N1023" s="9">
        <v>4.7850000000000001</v>
      </c>
      <c r="O1023" s="9">
        <v>0.36199999999999999</v>
      </c>
      <c r="P1023" s="9">
        <v>1.2509999999999999</v>
      </c>
      <c r="Q1023" s="9">
        <v>19.053000000000001</v>
      </c>
      <c r="R1023" s="9"/>
      <c r="S1023" s="11"/>
    </row>
    <row r="1024" spans="1:19" ht="15.75">
      <c r="A1024" s="13">
        <v>72685</v>
      </c>
      <c r="B1024" s="8">
        <f>40.5409 * CHOOSE(CONTROL!$C$15, $D$11, 100%, $F$11)</f>
        <v>40.540900000000001</v>
      </c>
      <c r="C1024" s="8">
        <f>40.5517 * CHOOSE(CONTROL!$C$15, $D$11, 100%, $F$11)</f>
        <v>40.551699999999997</v>
      </c>
      <c r="D1024" s="8">
        <f>40.5294 * CHOOSE( CONTROL!$C$15, $D$11, 100%, $F$11)</f>
        <v>40.529400000000003</v>
      </c>
      <c r="E1024" s="12">
        <f>40.5364 * CHOOSE( CONTROL!$C$15, $D$11, 100%, $F$11)</f>
        <v>40.5364</v>
      </c>
      <c r="F1024" s="4">
        <f>41.2021 * CHOOSE(CONTROL!$C$15, $D$11, 100%, $F$11)</f>
        <v>41.202100000000002</v>
      </c>
      <c r="G1024" s="8">
        <f>39.6336 * CHOOSE( CONTROL!$C$15, $D$11, 100%, $F$11)</f>
        <v>39.633600000000001</v>
      </c>
      <c r="H1024" s="4">
        <f>40.5173 * CHOOSE(CONTROL!$C$15, $D$11, 100%, $F$11)</f>
        <v>40.517299999999999</v>
      </c>
      <c r="I1024" s="8">
        <f>39.0923 * CHOOSE(CONTROL!$C$15, $D$11, 100%, $F$11)</f>
        <v>39.092300000000002</v>
      </c>
      <c r="J1024" s="4">
        <f>38.9089 * CHOOSE(CONTROL!$C$15, $D$11, 100%, $F$11)</f>
        <v>38.908900000000003</v>
      </c>
      <c r="K1024" s="4"/>
      <c r="L1024" s="9">
        <v>29.306000000000001</v>
      </c>
      <c r="M1024" s="9">
        <v>12.063700000000001</v>
      </c>
      <c r="N1024" s="9">
        <v>4.9444999999999997</v>
      </c>
      <c r="O1024" s="9">
        <v>0.37409999999999999</v>
      </c>
      <c r="P1024" s="9">
        <v>1.2927</v>
      </c>
      <c r="Q1024" s="9">
        <v>19.688099999999999</v>
      </c>
      <c r="R1024" s="9"/>
      <c r="S1024" s="11"/>
    </row>
    <row r="1025" spans="1:19" ht="15.75">
      <c r="A1025" s="13">
        <v>72716</v>
      </c>
      <c r="B1025" s="8">
        <f>41.7363 * CHOOSE(CONTROL!$C$15, $D$11, 100%, $F$11)</f>
        <v>41.7363</v>
      </c>
      <c r="C1025" s="8">
        <f>41.7471 * CHOOSE(CONTROL!$C$15, $D$11, 100%, $F$11)</f>
        <v>41.747100000000003</v>
      </c>
      <c r="D1025" s="8">
        <f>41.7287 * CHOOSE( CONTROL!$C$15, $D$11, 100%, $F$11)</f>
        <v>41.728700000000003</v>
      </c>
      <c r="E1025" s="12">
        <f>41.7343 * CHOOSE( CONTROL!$C$15, $D$11, 100%, $F$11)</f>
        <v>41.734299999999998</v>
      </c>
      <c r="F1025" s="4">
        <f>42.3974 * CHOOSE(CONTROL!$C$15, $D$11, 100%, $F$11)</f>
        <v>42.397399999999998</v>
      </c>
      <c r="G1025" s="8">
        <f>40.7979 * CHOOSE( CONTROL!$C$15, $D$11, 100%, $F$11)</f>
        <v>40.797899999999998</v>
      </c>
      <c r="H1025" s="4">
        <f>41.686 * CHOOSE(CONTROL!$C$15, $D$11, 100%, $F$11)</f>
        <v>41.686</v>
      </c>
      <c r="I1025" s="8">
        <f>40.196 * CHOOSE(CONTROL!$C$15, $D$11, 100%, $F$11)</f>
        <v>40.195999999999998</v>
      </c>
      <c r="J1025" s="4">
        <f>40.0566 * CHOOSE(CONTROL!$C$15, $D$11, 100%, $F$11)</f>
        <v>40.056600000000003</v>
      </c>
      <c r="K1025" s="4"/>
      <c r="L1025" s="9">
        <v>29.306000000000001</v>
      </c>
      <c r="M1025" s="9">
        <v>12.063700000000001</v>
      </c>
      <c r="N1025" s="9">
        <v>4.9444999999999997</v>
      </c>
      <c r="O1025" s="9">
        <v>0.37409999999999999</v>
      </c>
      <c r="P1025" s="9">
        <v>1.2927</v>
      </c>
      <c r="Q1025" s="9">
        <v>19.688099999999999</v>
      </c>
      <c r="R1025" s="9"/>
      <c r="S1025" s="11"/>
    </row>
    <row r="1026" spans="1:19" ht="15.75">
      <c r="A1026" s="13">
        <v>72744</v>
      </c>
      <c r="B1026" s="8">
        <f>39.0391 * CHOOSE(CONTROL!$C$15, $D$11, 100%, $F$11)</f>
        <v>39.039099999999998</v>
      </c>
      <c r="C1026" s="8">
        <f>39.0499 * CHOOSE(CONTROL!$C$15, $D$11, 100%, $F$11)</f>
        <v>39.049900000000001</v>
      </c>
      <c r="D1026" s="8">
        <f>39.0313 * CHOOSE( CONTROL!$C$15, $D$11, 100%, $F$11)</f>
        <v>39.031300000000002</v>
      </c>
      <c r="E1026" s="12">
        <f>39.037 * CHOOSE( CONTROL!$C$15, $D$11, 100%, $F$11)</f>
        <v>39.036999999999999</v>
      </c>
      <c r="F1026" s="4">
        <f>39.7002 * CHOOSE(CONTROL!$C$15, $D$11, 100%, $F$11)</f>
        <v>39.700200000000002</v>
      </c>
      <c r="G1026" s="8">
        <f>38.1607 * CHOOSE( CONTROL!$C$15, $D$11, 100%, $F$11)</f>
        <v>38.160699999999999</v>
      </c>
      <c r="H1026" s="4">
        <f>39.049 * CHOOSE(CONTROL!$C$15, $D$11, 100%, $F$11)</f>
        <v>39.048999999999999</v>
      </c>
      <c r="I1026" s="8">
        <f>37.6046 * CHOOSE(CONTROL!$C$15, $D$11, 100%, $F$11)</f>
        <v>37.604599999999998</v>
      </c>
      <c r="J1026" s="4">
        <f>37.467 * CHOOSE(CONTROL!$C$15, $D$11, 100%, $F$11)</f>
        <v>37.466999999999999</v>
      </c>
      <c r="K1026" s="4"/>
      <c r="L1026" s="9">
        <v>26.469899999999999</v>
      </c>
      <c r="M1026" s="9">
        <v>10.8962</v>
      </c>
      <c r="N1026" s="9">
        <v>4.4660000000000002</v>
      </c>
      <c r="O1026" s="9">
        <v>0.33789999999999998</v>
      </c>
      <c r="P1026" s="9">
        <v>1.1676</v>
      </c>
      <c r="Q1026" s="9">
        <v>17.782800000000002</v>
      </c>
      <c r="R1026" s="9"/>
      <c r="S1026" s="11"/>
    </row>
    <row r="1027" spans="1:19" ht="15.75">
      <c r="A1027" s="13">
        <v>72775</v>
      </c>
      <c r="B1027" s="8">
        <f>38.2084 * CHOOSE(CONTROL!$C$15, $D$11, 100%, $F$11)</f>
        <v>38.208399999999997</v>
      </c>
      <c r="C1027" s="8">
        <f>38.2192 * CHOOSE(CONTROL!$C$15, $D$11, 100%, $F$11)</f>
        <v>38.219200000000001</v>
      </c>
      <c r="D1027" s="8">
        <f>38.2001 * CHOOSE( CONTROL!$C$15, $D$11, 100%, $F$11)</f>
        <v>38.200099999999999</v>
      </c>
      <c r="E1027" s="12">
        <f>38.2059 * CHOOSE( CONTROL!$C$15, $D$11, 100%, $F$11)</f>
        <v>38.2059</v>
      </c>
      <c r="F1027" s="4">
        <f>38.8695 * CHOOSE(CONTROL!$C$15, $D$11, 100%, $F$11)</f>
        <v>38.869500000000002</v>
      </c>
      <c r="G1027" s="8">
        <f>37.3481 * CHOOSE( CONTROL!$C$15, $D$11, 100%, $F$11)</f>
        <v>37.348100000000002</v>
      </c>
      <c r="H1027" s="4">
        <f>38.2368 * CHOOSE(CONTROL!$C$15, $D$11, 100%, $F$11)</f>
        <v>38.236800000000002</v>
      </c>
      <c r="I1027" s="8">
        <f>36.8051 * CHOOSE(CONTROL!$C$15, $D$11, 100%, $F$11)</f>
        <v>36.805100000000003</v>
      </c>
      <c r="J1027" s="4">
        <f>36.6694 * CHOOSE(CONTROL!$C$15, $D$11, 100%, $F$11)</f>
        <v>36.669400000000003</v>
      </c>
      <c r="K1027" s="4"/>
      <c r="L1027" s="9">
        <v>29.306000000000001</v>
      </c>
      <c r="M1027" s="9">
        <v>12.063700000000001</v>
      </c>
      <c r="N1027" s="9">
        <v>4.9444999999999997</v>
      </c>
      <c r="O1027" s="9">
        <v>0.37409999999999999</v>
      </c>
      <c r="P1027" s="9">
        <v>1.2927</v>
      </c>
      <c r="Q1027" s="9">
        <v>19.688099999999999</v>
      </c>
      <c r="R1027" s="9"/>
      <c r="S1027" s="11"/>
    </row>
    <row r="1028" spans="1:19" ht="15.75">
      <c r="A1028" s="13">
        <v>72805</v>
      </c>
      <c r="B1028" s="8">
        <f>38.7888 * CHOOSE(CONTROL!$C$15, $D$11, 100%, $F$11)</f>
        <v>38.788800000000002</v>
      </c>
      <c r="C1028" s="8">
        <f>38.7996 * CHOOSE(CONTROL!$C$15, $D$11, 100%, $F$11)</f>
        <v>38.799599999999998</v>
      </c>
      <c r="D1028" s="8">
        <f>38.8344 * CHOOSE( CONTROL!$C$15, $D$11, 100%, $F$11)</f>
        <v>38.834400000000002</v>
      </c>
      <c r="E1028" s="12">
        <f>38.8217 * CHOOSE( CONTROL!$C$15, $D$11, 100%, $F$11)</f>
        <v>38.8217</v>
      </c>
      <c r="F1028" s="4">
        <f>39.5177 * CHOOSE(CONTROL!$C$15, $D$11, 100%, $F$11)</f>
        <v>39.517699999999998</v>
      </c>
      <c r="G1028" s="8">
        <f>37.9184 * CHOOSE( CONTROL!$C$15, $D$11, 100%, $F$11)</f>
        <v>37.918399999999998</v>
      </c>
      <c r="H1028" s="4">
        <f>38.8705 * CHOOSE(CONTROL!$C$15, $D$11, 100%, $F$11)</f>
        <v>38.8705</v>
      </c>
      <c r="I1028" s="8">
        <f>37.358 * CHOOSE(CONTROL!$C$15, $D$11, 100%, $F$11)</f>
        <v>37.357999999999997</v>
      </c>
      <c r="J1028" s="4">
        <f>37.2267 * CHOOSE(CONTROL!$C$15, $D$11, 100%, $F$11)</f>
        <v>37.226700000000001</v>
      </c>
      <c r="K1028" s="4"/>
      <c r="L1028" s="9">
        <v>30.092199999999998</v>
      </c>
      <c r="M1028" s="9">
        <v>11.6745</v>
      </c>
      <c r="N1028" s="9">
        <v>4.7850000000000001</v>
      </c>
      <c r="O1028" s="9">
        <v>0.36199999999999999</v>
      </c>
      <c r="P1028" s="9">
        <v>1.1791</v>
      </c>
      <c r="Q1028" s="9">
        <v>19.053000000000001</v>
      </c>
      <c r="R1028" s="9"/>
      <c r="S1028" s="11"/>
    </row>
    <row r="1029" spans="1:19" ht="15.75">
      <c r="A1029" s="13">
        <v>72836</v>
      </c>
      <c r="B1029" s="8">
        <f>CHOOSE( CONTROL!$C$32, 39.8242, 39.8219) * CHOOSE(CONTROL!$C$15, $D$11, 100%, $F$11)</f>
        <v>39.824199999999998</v>
      </c>
      <c r="C1029" s="8">
        <f>CHOOSE( CONTROL!$C$32, 39.8348, 39.8325) * CHOOSE(CONTROL!$C$15, $D$11, 100%, $F$11)</f>
        <v>39.834800000000001</v>
      </c>
      <c r="D1029" s="8">
        <f>CHOOSE( CONTROL!$C$32, 39.8686, 39.8663) * CHOOSE( CONTROL!$C$15, $D$11, 100%, $F$11)</f>
        <v>39.868600000000001</v>
      </c>
      <c r="E1029" s="12">
        <f>CHOOSE( CONTROL!$C$32, 39.8547, 39.8524) * CHOOSE( CONTROL!$C$15, $D$11, 100%, $F$11)</f>
        <v>39.854700000000001</v>
      </c>
      <c r="F1029" s="4">
        <f>CHOOSE( CONTROL!$C$32, 40.5531, 40.5508) * CHOOSE(CONTROL!$C$15, $D$11, 100%, $F$11)</f>
        <v>40.553100000000001</v>
      </c>
      <c r="G1029" s="8">
        <f>CHOOSE( CONTROL!$C$32, 38.9313, 38.9291) * CHOOSE( CONTROL!$C$15, $D$11, 100%, $F$11)</f>
        <v>38.9313</v>
      </c>
      <c r="H1029" s="4">
        <f>CHOOSE( CONTROL!$C$32, 39.8829, 39.8806) * CHOOSE(CONTROL!$C$15, $D$11, 100%, $F$11)</f>
        <v>39.882899999999999</v>
      </c>
      <c r="I1029" s="8">
        <f>CHOOSE( CONTROL!$C$32, 38.3527, 38.3505) * CHOOSE(CONTROL!$C$15, $D$11, 100%, $F$11)</f>
        <v>38.352699999999999</v>
      </c>
      <c r="J1029" s="4">
        <f>CHOOSE( CONTROL!$C$32, 38.2209, 38.2187) * CHOOSE(CONTROL!$C$15, $D$11, 100%, $F$11)</f>
        <v>38.2209</v>
      </c>
      <c r="K1029" s="4"/>
      <c r="L1029" s="9">
        <v>30.7165</v>
      </c>
      <c r="M1029" s="9">
        <v>12.063700000000001</v>
      </c>
      <c r="N1029" s="9">
        <v>4.9444999999999997</v>
      </c>
      <c r="O1029" s="9">
        <v>0.37409999999999999</v>
      </c>
      <c r="P1029" s="9">
        <v>1.2183999999999999</v>
      </c>
      <c r="Q1029" s="9">
        <v>19.688099999999999</v>
      </c>
      <c r="R1029" s="9"/>
      <c r="S1029" s="11"/>
    </row>
    <row r="1030" spans="1:19" ht="15.75">
      <c r="A1030" s="13">
        <v>72866</v>
      </c>
      <c r="B1030" s="8">
        <f>CHOOSE( CONTROL!$C$32, 39.1842, 39.1819) * CHOOSE(CONTROL!$C$15, $D$11, 100%, $F$11)</f>
        <v>39.184199999999997</v>
      </c>
      <c r="C1030" s="8">
        <f>CHOOSE( CONTROL!$C$32, 39.1948, 39.1925) * CHOOSE(CONTROL!$C$15, $D$11, 100%, $F$11)</f>
        <v>39.194800000000001</v>
      </c>
      <c r="D1030" s="8">
        <f>CHOOSE( CONTROL!$C$32, 39.2288, 39.2265) * CHOOSE( CONTROL!$C$15, $D$11, 100%, $F$11)</f>
        <v>39.2288</v>
      </c>
      <c r="E1030" s="12">
        <f>CHOOSE( CONTROL!$C$32, 39.2149, 39.2126) * CHOOSE( CONTROL!$C$15, $D$11, 100%, $F$11)</f>
        <v>39.2149</v>
      </c>
      <c r="F1030" s="4">
        <f>CHOOSE( CONTROL!$C$32, 39.9131, 39.9108) * CHOOSE(CONTROL!$C$15, $D$11, 100%, $F$11)</f>
        <v>39.9131</v>
      </c>
      <c r="G1030" s="8">
        <f>CHOOSE( CONTROL!$C$32, 38.3058, 38.3036) * CHOOSE( CONTROL!$C$15, $D$11, 100%, $F$11)</f>
        <v>38.305799999999998</v>
      </c>
      <c r="H1030" s="4">
        <f>CHOOSE( CONTROL!$C$32, 39.2572, 39.2549) * CHOOSE(CONTROL!$C$15, $D$11, 100%, $F$11)</f>
        <v>39.257199999999997</v>
      </c>
      <c r="I1030" s="8">
        <f>CHOOSE( CONTROL!$C$32, 37.7387, 37.7365) * CHOOSE(CONTROL!$C$15, $D$11, 100%, $F$11)</f>
        <v>37.738700000000001</v>
      </c>
      <c r="J1030" s="4">
        <f>CHOOSE( CONTROL!$C$32, 37.6064, 37.6042) * CHOOSE(CONTROL!$C$15, $D$11, 100%, $F$11)</f>
        <v>37.606400000000001</v>
      </c>
      <c r="K1030" s="4"/>
      <c r="L1030" s="9">
        <v>29.7257</v>
      </c>
      <c r="M1030" s="9">
        <v>11.6745</v>
      </c>
      <c r="N1030" s="9">
        <v>4.7850000000000001</v>
      </c>
      <c r="O1030" s="9">
        <v>0.36199999999999999</v>
      </c>
      <c r="P1030" s="9">
        <v>1.1791</v>
      </c>
      <c r="Q1030" s="9">
        <v>19.053000000000001</v>
      </c>
      <c r="R1030" s="9"/>
      <c r="S1030" s="11"/>
    </row>
    <row r="1031" spans="1:19" ht="15.75">
      <c r="A1031" s="13">
        <v>72897</v>
      </c>
      <c r="B1031" s="8">
        <f>CHOOSE( CONTROL!$C$32, 40.8696, 40.8673) * CHOOSE(CONTROL!$C$15, $D$11, 100%, $F$11)</f>
        <v>40.869599999999998</v>
      </c>
      <c r="C1031" s="8">
        <f>CHOOSE( CONTROL!$C$32, 40.8801, 40.8778) * CHOOSE(CONTROL!$C$15, $D$11, 100%, $F$11)</f>
        <v>40.880099999999999</v>
      </c>
      <c r="D1031" s="8">
        <f>CHOOSE( CONTROL!$C$32, 40.9143, 40.912) * CHOOSE( CONTROL!$C$15, $D$11, 100%, $F$11)</f>
        <v>40.914299999999997</v>
      </c>
      <c r="E1031" s="12">
        <f>CHOOSE( CONTROL!$C$32, 40.9003, 40.898) * CHOOSE( CONTROL!$C$15, $D$11, 100%, $F$11)</f>
        <v>40.900300000000001</v>
      </c>
      <c r="F1031" s="4">
        <f>CHOOSE( CONTROL!$C$32, 41.5985, 41.5962) * CHOOSE(CONTROL!$C$15, $D$11, 100%, $F$11)</f>
        <v>41.598500000000001</v>
      </c>
      <c r="G1031" s="8">
        <f>CHOOSE( CONTROL!$C$32, 39.9539, 39.9517) * CHOOSE( CONTROL!$C$15, $D$11, 100%, $F$11)</f>
        <v>39.953899999999997</v>
      </c>
      <c r="H1031" s="4">
        <f>CHOOSE( CONTROL!$C$32, 40.9049, 40.9027) * CHOOSE(CONTROL!$C$15, $D$11, 100%, $F$11)</f>
        <v>40.904899999999998</v>
      </c>
      <c r="I1031" s="8">
        <f>CHOOSE( CONTROL!$C$32, 39.3586, 39.3564) * CHOOSE(CONTROL!$C$15, $D$11, 100%, $F$11)</f>
        <v>39.358600000000003</v>
      </c>
      <c r="J1031" s="4">
        <f>CHOOSE( CONTROL!$C$32, 39.2245, 39.2223) * CHOOSE(CONTROL!$C$15, $D$11, 100%, $F$11)</f>
        <v>39.224499999999999</v>
      </c>
      <c r="K1031" s="4"/>
      <c r="L1031" s="9">
        <v>30.7165</v>
      </c>
      <c r="M1031" s="9">
        <v>12.063700000000001</v>
      </c>
      <c r="N1031" s="9">
        <v>4.9444999999999997</v>
      </c>
      <c r="O1031" s="9">
        <v>0.37409999999999999</v>
      </c>
      <c r="P1031" s="9">
        <v>1.2183999999999999</v>
      </c>
      <c r="Q1031" s="9">
        <v>19.688099999999999</v>
      </c>
      <c r="R1031" s="9"/>
      <c r="S1031" s="11"/>
    </row>
    <row r="1032" spans="1:19" ht="15.75">
      <c r="A1032" s="13">
        <v>72928</v>
      </c>
      <c r="B1032" s="8">
        <f>CHOOSE( CONTROL!$C$32, 37.7161, 37.7138) * CHOOSE(CONTROL!$C$15, $D$11, 100%, $F$11)</f>
        <v>37.716099999999997</v>
      </c>
      <c r="C1032" s="8">
        <f>CHOOSE( CONTROL!$C$32, 37.7266, 37.7243) * CHOOSE(CONTROL!$C$15, $D$11, 100%, $F$11)</f>
        <v>37.726599999999998</v>
      </c>
      <c r="D1032" s="8">
        <f>CHOOSE( CONTROL!$C$32, 37.7609, 37.7586) * CHOOSE( CONTROL!$C$15, $D$11, 100%, $F$11)</f>
        <v>37.760899999999999</v>
      </c>
      <c r="E1032" s="12">
        <f>CHOOSE( CONTROL!$C$32, 37.7469, 37.7446) * CHOOSE( CONTROL!$C$15, $D$11, 100%, $F$11)</f>
        <v>37.746899999999997</v>
      </c>
      <c r="F1032" s="4">
        <f>CHOOSE( CONTROL!$C$32, 38.445, 38.4427) * CHOOSE(CONTROL!$C$15, $D$11, 100%, $F$11)</f>
        <v>38.445</v>
      </c>
      <c r="G1032" s="8">
        <f>CHOOSE( CONTROL!$C$32, 36.8708, 36.8686) * CHOOSE( CONTROL!$C$15, $D$11, 100%, $F$11)</f>
        <v>36.870800000000003</v>
      </c>
      <c r="H1032" s="4">
        <f>CHOOSE( CONTROL!$C$32, 37.8218, 37.8195) * CHOOSE(CONTROL!$C$15, $D$11, 100%, $F$11)</f>
        <v>37.821800000000003</v>
      </c>
      <c r="I1032" s="8">
        <f>CHOOSE( CONTROL!$C$32, 36.3297, 36.3275) * CHOOSE(CONTROL!$C$15, $D$11, 100%, $F$11)</f>
        <v>36.329700000000003</v>
      </c>
      <c r="J1032" s="4">
        <f>CHOOSE( CONTROL!$C$32, 36.1969, 36.1947) * CHOOSE(CONTROL!$C$15, $D$11, 100%, $F$11)</f>
        <v>36.196899999999999</v>
      </c>
      <c r="K1032" s="4"/>
      <c r="L1032" s="9">
        <v>30.7165</v>
      </c>
      <c r="M1032" s="9">
        <v>12.063700000000001</v>
      </c>
      <c r="N1032" s="9">
        <v>4.9444999999999997</v>
      </c>
      <c r="O1032" s="9">
        <v>0.37409999999999999</v>
      </c>
      <c r="P1032" s="9">
        <v>1.2183999999999999</v>
      </c>
      <c r="Q1032" s="9">
        <v>19.688099999999999</v>
      </c>
      <c r="R1032" s="9"/>
      <c r="S1032" s="11"/>
    </row>
    <row r="1033" spans="1:19" ht="15.75">
      <c r="A1033" s="13">
        <v>72958</v>
      </c>
      <c r="B1033" s="8">
        <f>CHOOSE( CONTROL!$C$32, 36.9264, 36.9241) * CHOOSE(CONTROL!$C$15, $D$11, 100%, $F$11)</f>
        <v>36.926400000000001</v>
      </c>
      <c r="C1033" s="8">
        <f>CHOOSE( CONTROL!$C$32, 36.937, 36.9347) * CHOOSE(CONTROL!$C$15, $D$11, 100%, $F$11)</f>
        <v>36.936999999999998</v>
      </c>
      <c r="D1033" s="8">
        <f>CHOOSE( CONTROL!$C$32, 36.9712, 36.9689) * CHOOSE( CONTROL!$C$15, $D$11, 100%, $F$11)</f>
        <v>36.971200000000003</v>
      </c>
      <c r="E1033" s="12">
        <f>CHOOSE( CONTROL!$C$32, 36.9572, 36.9549) * CHOOSE( CONTROL!$C$15, $D$11, 100%, $F$11)</f>
        <v>36.9572</v>
      </c>
      <c r="F1033" s="4">
        <f>CHOOSE( CONTROL!$C$32, 37.6553, 37.653) * CHOOSE(CONTROL!$C$15, $D$11, 100%, $F$11)</f>
        <v>37.655299999999997</v>
      </c>
      <c r="G1033" s="8">
        <f>CHOOSE( CONTROL!$C$32, 36.0987, 36.0965) * CHOOSE( CONTROL!$C$15, $D$11, 100%, $F$11)</f>
        <v>36.098700000000001</v>
      </c>
      <c r="H1033" s="4">
        <f>CHOOSE( CONTROL!$C$32, 37.0497, 37.0475) * CHOOSE(CONTROL!$C$15, $D$11, 100%, $F$11)</f>
        <v>37.049700000000001</v>
      </c>
      <c r="I1033" s="8">
        <f>CHOOSE( CONTROL!$C$32, 35.571, 35.5688) * CHOOSE(CONTROL!$C$15, $D$11, 100%, $F$11)</f>
        <v>35.570999999999998</v>
      </c>
      <c r="J1033" s="4">
        <f>CHOOSE( CONTROL!$C$32, 35.4387, 35.4365) * CHOOSE(CONTROL!$C$15, $D$11, 100%, $F$11)</f>
        <v>35.438699999999997</v>
      </c>
      <c r="K1033" s="4"/>
      <c r="L1033" s="9">
        <v>29.7257</v>
      </c>
      <c r="M1033" s="9">
        <v>11.6745</v>
      </c>
      <c r="N1033" s="9">
        <v>4.7850000000000001</v>
      </c>
      <c r="O1033" s="9">
        <v>0.36199999999999999</v>
      </c>
      <c r="P1033" s="9">
        <v>1.1791</v>
      </c>
      <c r="Q1033" s="9">
        <v>19.053000000000001</v>
      </c>
      <c r="R1033" s="9"/>
      <c r="S1033" s="11"/>
    </row>
    <row r="1034" spans="1:19" ht="15.75">
      <c r="A1034" s="13">
        <v>72989</v>
      </c>
      <c r="B1034" s="8">
        <f>38.5638 * CHOOSE(CONTROL!$C$15, $D$11, 100%, $F$11)</f>
        <v>38.563800000000001</v>
      </c>
      <c r="C1034" s="8">
        <f>38.5746 * CHOOSE(CONTROL!$C$15, $D$11, 100%, $F$11)</f>
        <v>38.574599999999997</v>
      </c>
      <c r="D1034" s="8">
        <f>38.61 * CHOOSE( CONTROL!$C$15, $D$11, 100%, $F$11)</f>
        <v>38.61</v>
      </c>
      <c r="E1034" s="12">
        <f>38.5972 * CHOOSE( CONTROL!$C$15, $D$11, 100%, $F$11)</f>
        <v>38.597200000000001</v>
      </c>
      <c r="F1034" s="4">
        <f>39.2927 * CHOOSE(CONTROL!$C$15, $D$11, 100%, $F$11)</f>
        <v>39.292700000000004</v>
      </c>
      <c r="G1034" s="8">
        <f>37.6994 * CHOOSE( CONTROL!$C$15, $D$11, 100%, $F$11)</f>
        <v>37.699399999999997</v>
      </c>
      <c r="H1034" s="4">
        <f>38.6505 * CHOOSE(CONTROL!$C$15, $D$11, 100%, $F$11)</f>
        <v>38.650500000000001</v>
      </c>
      <c r="I1034" s="8">
        <f>37.1447 * CHOOSE(CONTROL!$C$15, $D$11, 100%, $F$11)</f>
        <v>37.1447</v>
      </c>
      <c r="J1034" s="4">
        <f>37.0107 * CHOOSE(CONTROL!$C$15, $D$11, 100%, $F$11)</f>
        <v>37.0107</v>
      </c>
      <c r="K1034" s="4"/>
      <c r="L1034" s="9">
        <v>31.095300000000002</v>
      </c>
      <c r="M1034" s="9">
        <v>12.063700000000001</v>
      </c>
      <c r="N1034" s="9">
        <v>4.9444999999999997</v>
      </c>
      <c r="O1034" s="9">
        <v>0.37409999999999999</v>
      </c>
      <c r="P1034" s="9">
        <v>1.2183999999999999</v>
      </c>
      <c r="Q1034" s="9">
        <v>19.688099999999999</v>
      </c>
      <c r="R1034" s="9"/>
      <c r="S1034" s="11"/>
    </row>
    <row r="1035" spans="1:19" ht="15.75">
      <c r="A1035" s="13">
        <v>73019</v>
      </c>
      <c r="B1035" s="8">
        <f>41.5903 * CHOOSE(CONTROL!$C$15, $D$11, 100%, $F$11)</f>
        <v>41.590299999999999</v>
      </c>
      <c r="C1035" s="8">
        <f>41.6011 * CHOOSE(CONTROL!$C$15, $D$11, 100%, $F$11)</f>
        <v>41.601100000000002</v>
      </c>
      <c r="D1035" s="8">
        <f>41.5771 * CHOOSE( CONTROL!$C$15, $D$11, 100%, $F$11)</f>
        <v>41.577100000000002</v>
      </c>
      <c r="E1035" s="12">
        <f>41.5847 * CHOOSE( CONTROL!$C$15, $D$11, 100%, $F$11)</f>
        <v>41.584699999999998</v>
      </c>
      <c r="F1035" s="4">
        <f>42.2514 * CHOOSE(CONTROL!$C$15, $D$11, 100%, $F$11)</f>
        <v>42.251399999999997</v>
      </c>
      <c r="G1035" s="8">
        <f>40.6583 * CHOOSE( CONTROL!$C$15, $D$11, 100%, $F$11)</f>
        <v>40.658299999999997</v>
      </c>
      <c r="H1035" s="4">
        <f>41.5433 * CHOOSE(CONTROL!$C$15, $D$11, 100%, $F$11)</f>
        <v>41.543300000000002</v>
      </c>
      <c r="I1035" s="8">
        <f>40.0951 * CHOOSE(CONTROL!$C$15, $D$11, 100%, $F$11)</f>
        <v>40.095100000000002</v>
      </c>
      <c r="J1035" s="4">
        <f>39.9164 * CHOOSE(CONTROL!$C$15, $D$11, 100%, $F$11)</f>
        <v>39.916400000000003</v>
      </c>
      <c r="K1035" s="4"/>
      <c r="L1035" s="9">
        <v>28.360600000000002</v>
      </c>
      <c r="M1035" s="9">
        <v>11.6745</v>
      </c>
      <c r="N1035" s="9">
        <v>4.7850000000000001</v>
      </c>
      <c r="O1035" s="9">
        <v>0.36199999999999999</v>
      </c>
      <c r="P1035" s="9">
        <v>1.2509999999999999</v>
      </c>
      <c r="Q1035" s="9">
        <v>19.053000000000001</v>
      </c>
      <c r="R1035" s="9"/>
      <c r="S1035" s="11"/>
    </row>
    <row r="1036" spans="1:19" ht="15.75">
      <c r="A1036" s="13">
        <v>73050</v>
      </c>
      <c r="B1036" s="8">
        <f>41.5147 * CHOOSE(CONTROL!$C$15, $D$11, 100%, $F$11)</f>
        <v>41.514699999999998</v>
      </c>
      <c r="C1036" s="8">
        <f>41.5254 * CHOOSE(CONTROL!$C$15, $D$11, 100%, $F$11)</f>
        <v>41.525399999999998</v>
      </c>
      <c r="D1036" s="8">
        <f>41.5032 * CHOOSE( CONTROL!$C$15, $D$11, 100%, $F$11)</f>
        <v>41.5032</v>
      </c>
      <c r="E1036" s="12">
        <f>41.5102 * CHOOSE( CONTROL!$C$15, $D$11, 100%, $F$11)</f>
        <v>41.510199999999998</v>
      </c>
      <c r="F1036" s="4">
        <f>42.1758 * CHOOSE(CONTROL!$C$15, $D$11, 100%, $F$11)</f>
        <v>42.175800000000002</v>
      </c>
      <c r="G1036" s="8">
        <f>40.5856 * CHOOSE( CONTROL!$C$15, $D$11, 100%, $F$11)</f>
        <v>40.585599999999999</v>
      </c>
      <c r="H1036" s="4">
        <f>41.4693 * CHOOSE(CONTROL!$C$15, $D$11, 100%, $F$11)</f>
        <v>41.469299999999997</v>
      </c>
      <c r="I1036" s="8">
        <f>40.0277 * CHOOSE(CONTROL!$C$15, $D$11, 100%, $F$11)</f>
        <v>40.027700000000003</v>
      </c>
      <c r="J1036" s="4">
        <f>39.8438 * CHOOSE(CONTROL!$C$15, $D$11, 100%, $F$11)</f>
        <v>39.843800000000002</v>
      </c>
      <c r="K1036" s="4"/>
      <c r="L1036" s="9">
        <v>29.306000000000001</v>
      </c>
      <c r="M1036" s="9">
        <v>12.063700000000001</v>
      </c>
      <c r="N1036" s="9">
        <v>4.9444999999999997</v>
      </c>
      <c r="O1036" s="9">
        <v>0.37409999999999999</v>
      </c>
      <c r="P1036" s="9">
        <v>1.2927</v>
      </c>
      <c r="Q1036" s="9">
        <v>19.688099999999999</v>
      </c>
      <c r="R1036" s="9"/>
      <c r="S1036" s="11"/>
    </row>
    <row r="1037" spans="1:19" ht="15.75">
      <c r="A1037" s="13">
        <v>73081</v>
      </c>
      <c r="B1037" s="8">
        <f>42.7388 * CHOOSE(CONTROL!$C$15, $D$11, 100%, $F$11)</f>
        <v>42.738799999999998</v>
      </c>
      <c r="C1037" s="8">
        <f>42.7495 * CHOOSE(CONTROL!$C$15, $D$11, 100%, $F$11)</f>
        <v>42.749499999999998</v>
      </c>
      <c r="D1037" s="8">
        <f>42.7312 * CHOOSE( CONTROL!$C$15, $D$11, 100%, $F$11)</f>
        <v>42.731200000000001</v>
      </c>
      <c r="E1037" s="12">
        <f>42.7368 * CHOOSE( CONTROL!$C$15, $D$11, 100%, $F$11)</f>
        <v>42.736800000000002</v>
      </c>
      <c r="F1037" s="4">
        <f>43.3999 * CHOOSE(CONTROL!$C$15, $D$11, 100%, $F$11)</f>
        <v>43.399900000000002</v>
      </c>
      <c r="G1037" s="8">
        <f>41.778 * CHOOSE( CONTROL!$C$15, $D$11, 100%, $F$11)</f>
        <v>41.777999999999999</v>
      </c>
      <c r="H1037" s="4">
        <f>42.6661 * CHOOSE(CONTROL!$C$15, $D$11, 100%, $F$11)</f>
        <v>42.6661</v>
      </c>
      <c r="I1037" s="8">
        <f>41.1589 * CHOOSE(CONTROL!$C$15, $D$11, 100%, $F$11)</f>
        <v>41.158900000000003</v>
      </c>
      <c r="J1037" s="4">
        <f>41.019 * CHOOSE(CONTROL!$C$15, $D$11, 100%, $F$11)</f>
        <v>41.018999999999998</v>
      </c>
      <c r="K1037" s="4"/>
      <c r="L1037" s="9">
        <v>29.306000000000001</v>
      </c>
      <c r="M1037" s="9">
        <v>12.063700000000001</v>
      </c>
      <c r="N1037" s="9">
        <v>4.9444999999999997</v>
      </c>
      <c r="O1037" s="9">
        <v>0.37409999999999999</v>
      </c>
      <c r="P1037" s="9">
        <v>1.2927</v>
      </c>
      <c r="Q1037" s="9">
        <v>19.688099999999999</v>
      </c>
      <c r="R1037" s="9"/>
      <c r="S1037" s="11"/>
    </row>
    <row r="1038" spans="1:19" ht="15.75">
      <c r="A1038" s="13">
        <v>73109</v>
      </c>
      <c r="B1038" s="8">
        <f>39.9768 * CHOOSE(CONTROL!$C$15, $D$11, 100%, $F$11)</f>
        <v>39.976799999999997</v>
      </c>
      <c r="C1038" s="8">
        <f>39.9875 * CHOOSE(CONTROL!$C$15, $D$11, 100%, $F$11)</f>
        <v>39.987499999999997</v>
      </c>
      <c r="D1038" s="8">
        <f>39.969 * CHOOSE( CONTROL!$C$15, $D$11, 100%, $F$11)</f>
        <v>39.969000000000001</v>
      </c>
      <c r="E1038" s="12">
        <f>39.9746 * CHOOSE( CONTROL!$C$15, $D$11, 100%, $F$11)</f>
        <v>39.974600000000002</v>
      </c>
      <c r="F1038" s="4">
        <f>40.6379 * CHOOSE(CONTROL!$C$15, $D$11, 100%, $F$11)</f>
        <v>40.637900000000002</v>
      </c>
      <c r="G1038" s="8">
        <f>39.0774 * CHOOSE( CONTROL!$C$15, $D$11, 100%, $F$11)</f>
        <v>39.077399999999997</v>
      </c>
      <c r="H1038" s="4">
        <f>39.9657 * CHOOSE(CONTROL!$C$15, $D$11, 100%, $F$11)</f>
        <v>39.965699999999998</v>
      </c>
      <c r="I1038" s="8">
        <f>38.5053 * CHOOSE(CONTROL!$C$15, $D$11, 100%, $F$11)</f>
        <v>38.505299999999998</v>
      </c>
      <c r="J1038" s="4">
        <f>38.3672 * CHOOSE(CONTROL!$C$15, $D$11, 100%, $F$11)</f>
        <v>38.367199999999997</v>
      </c>
      <c r="K1038" s="4"/>
      <c r="L1038" s="9">
        <v>26.469899999999999</v>
      </c>
      <c r="M1038" s="9">
        <v>10.8962</v>
      </c>
      <c r="N1038" s="9">
        <v>4.4660000000000002</v>
      </c>
      <c r="O1038" s="9">
        <v>0.33789999999999998</v>
      </c>
      <c r="P1038" s="9">
        <v>1.1676</v>
      </c>
      <c r="Q1038" s="9">
        <v>17.782800000000002</v>
      </c>
      <c r="R1038" s="9"/>
      <c r="S1038" s="11"/>
    </row>
    <row r="1039" spans="1:19" ht="15.75">
      <c r="A1039" s="13">
        <v>73140</v>
      </c>
      <c r="B1039" s="8">
        <f>39.1261 * CHOOSE(CONTROL!$C$15, $D$11, 100%, $F$11)</f>
        <v>39.126100000000001</v>
      </c>
      <c r="C1039" s="8">
        <f>39.1368 * CHOOSE(CONTROL!$C$15, $D$11, 100%, $F$11)</f>
        <v>39.136800000000001</v>
      </c>
      <c r="D1039" s="8">
        <f>39.1178 * CHOOSE( CONTROL!$C$15, $D$11, 100%, $F$11)</f>
        <v>39.117800000000003</v>
      </c>
      <c r="E1039" s="12">
        <f>39.1236 * CHOOSE( CONTROL!$C$15, $D$11, 100%, $F$11)</f>
        <v>39.123600000000003</v>
      </c>
      <c r="F1039" s="4">
        <f>39.7872 * CHOOSE(CONTROL!$C$15, $D$11, 100%, $F$11)</f>
        <v>39.787199999999999</v>
      </c>
      <c r="G1039" s="8">
        <f>38.2454 * CHOOSE( CONTROL!$C$15, $D$11, 100%, $F$11)</f>
        <v>38.245399999999997</v>
      </c>
      <c r="H1039" s="4">
        <f>39.134 * CHOOSE(CONTROL!$C$15, $D$11, 100%, $F$11)</f>
        <v>39.134</v>
      </c>
      <c r="I1039" s="8">
        <f>37.6866 * CHOOSE(CONTROL!$C$15, $D$11, 100%, $F$11)</f>
        <v>37.686599999999999</v>
      </c>
      <c r="J1039" s="4">
        <f>37.5505 * CHOOSE(CONTROL!$C$15, $D$11, 100%, $F$11)</f>
        <v>37.5505</v>
      </c>
      <c r="K1039" s="4"/>
      <c r="L1039" s="9">
        <v>29.306000000000001</v>
      </c>
      <c r="M1039" s="9">
        <v>12.063700000000001</v>
      </c>
      <c r="N1039" s="9">
        <v>4.9444999999999997</v>
      </c>
      <c r="O1039" s="9">
        <v>0.37409999999999999</v>
      </c>
      <c r="P1039" s="9">
        <v>1.2927</v>
      </c>
      <c r="Q1039" s="9">
        <v>19.688099999999999</v>
      </c>
      <c r="R1039" s="9"/>
      <c r="S1039" s="11"/>
    </row>
    <row r="1040" spans="1:19" ht="15.75">
      <c r="A1040" s="13">
        <v>73170</v>
      </c>
      <c r="B1040" s="8">
        <f>39.7205 * CHOOSE(CONTROL!$C$15, $D$11, 100%, $F$11)</f>
        <v>39.720500000000001</v>
      </c>
      <c r="C1040" s="8">
        <f>39.7313 * CHOOSE(CONTROL!$C$15, $D$11, 100%, $F$11)</f>
        <v>39.731299999999997</v>
      </c>
      <c r="D1040" s="8">
        <f>39.766 * CHOOSE( CONTROL!$C$15, $D$11, 100%, $F$11)</f>
        <v>39.765999999999998</v>
      </c>
      <c r="E1040" s="12">
        <f>39.7533 * CHOOSE( CONTROL!$C$15, $D$11, 100%, $F$11)</f>
        <v>39.753300000000003</v>
      </c>
      <c r="F1040" s="4">
        <f>40.4493 * CHOOSE(CONTROL!$C$15, $D$11, 100%, $F$11)</f>
        <v>40.449300000000001</v>
      </c>
      <c r="G1040" s="8">
        <f>38.8293 * CHOOSE( CONTROL!$C$15, $D$11, 100%, $F$11)</f>
        <v>38.829300000000003</v>
      </c>
      <c r="H1040" s="4">
        <f>39.7814 * CHOOSE(CONTROL!$C$15, $D$11, 100%, $F$11)</f>
        <v>39.781399999999998</v>
      </c>
      <c r="I1040" s="8">
        <f>38.2529 * CHOOSE(CONTROL!$C$15, $D$11, 100%, $F$11)</f>
        <v>38.252899999999997</v>
      </c>
      <c r="J1040" s="4">
        <f>38.1212 * CHOOSE(CONTROL!$C$15, $D$11, 100%, $F$11)</f>
        <v>38.121200000000002</v>
      </c>
      <c r="K1040" s="4"/>
      <c r="L1040" s="9">
        <v>30.092199999999998</v>
      </c>
      <c r="M1040" s="9">
        <v>11.6745</v>
      </c>
      <c r="N1040" s="9">
        <v>4.7850000000000001</v>
      </c>
      <c r="O1040" s="9">
        <v>0.36199999999999999</v>
      </c>
      <c r="P1040" s="9">
        <v>1.1791</v>
      </c>
      <c r="Q1040" s="9">
        <v>19.053000000000001</v>
      </c>
      <c r="R1040" s="9"/>
      <c r="S1040" s="11"/>
    </row>
    <row r="1041" spans="1:19" ht="15.75">
      <c r="A1041" s="13">
        <v>73201</v>
      </c>
      <c r="B1041" s="8">
        <f>CHOOSE( CONTROL!$C$32, 40.7807, 40.7784) * CHOOSE(CONTROL!$C$15, $D$11, 100%, $F$11)</f>
        <v>40.780700000000003</v>
      </c>
      <c r="C1041" s="8">
        <f>CHOOSE( CONTROL!$C$32, 40.7912, 40.7889) * CHOOSE(CONTROL!$C$15, $D$11, 100%, $F$11)</f>
        <v>40.791200000000003</v>
      </c>
      <c r="D1041" s="8">
        <f>CHOOSE( CONTROL!$C$32, 40.8251, 40.8228) * CHOOSE( CONTROL!$C$15, $D$11, 100%, $F$11)</f>
        <v>40.825099999999999</v>
      </c>
      <c r="E1041" s="12">
        <f>CHOOSE( CONTROL!$C$32, 40.8112, 40.8089) * CHOOSE( CONTROL!$C$15, $D$11, 100%, $F$11)</f>
        <v>40.811199999999999</v>
      </c>
      <c r="F1041" s="4">
        <f>CHOOSE( CONTROL!$C$32, 41.5096, 41.5073) * CHOOSE(CONTROL!$C$15, $D$11, 100%, $F$11)</f>
        <v>41.509599999999999</v>
      </c>
      <c r="G1041" s="8">
        <f>CHOOSE( CONTROL!$C$32, 39.8664, 39.8642) * CHOOSE( CONTROL!$C$15, $D$11, 100%, $F$11)</f>
        <v>39.866399999999999</v>
      </c>
      <c r="H1041" s="4">
        <f>CHOOSE( CONTROL!$C$32, 40.818, 40.8158) * CHOOSE(CONTROL!$C$15, $D$11, 100%, $F$11)</f>
        <v>40.817999999999998</v>
      </c>
      <c r="I1041" s="8">
        <f>CHOOSE( CONTROL!$C$32, 39.2715, 39.2692) * CHOOSE(CONTROL!$C$15, $D$11, 100%, $F$11)</f>
        <v>39.271500000000003</v>
      </c>
      <c r="J1041" s="4">
        <f>CHOOSE( CONTROL!$C$32, 39.1392, 39.137) * CHOOSE(CONTROL!$C$15, $D$11, 100%, $F$11)</f>
        <v>39.139200000000002</v>
      </c>
      <c r="K1041" s="4"/>
      <c r="L1041" s="9">
        <v>30.7165</v>
      </c>
      <c r="M1041" s="9">
        <v>12.063700000000001</v>
      </c>
      <c r="N1041" s="9">
        <v>4.9444999999999997</v>
      </c>
      <c r="O1041" s="9">
        <v>0.37409999999999999</v>
      </c>
      <c r="P1041" s="9">
        <v>1.2183999999999999</v>
      </c>
      <c r="Q1041" s="9">
        <v>19.688099999999999</v>
      </c>
      <c r="R1041" s="9"/>
      <c r="S1041" s="11"/>
    </row>
    <row r="1042" spans="1:19" ht="15.75">
      <c r="A1042" s="13">
        <v>73231</v>
      </c>
      <c r="B1042" s="8">
        <f>CHOOSE( CONTROL!$C$32, 40.1253, 40.123) * CHOOSE(CONTROL!$C$15, $D$11, 100%, $F$11)</f>
        <v>40.125300000000003</v>
      </c>
      <c r="C1042" s="8">
        <f>CHOOSE( CONTROL!$C$32, 40.1358, 40.1335) * CHOOSE(CONTROL!$C$15, $D$11, 100%, $F$11)</f>
        <v>40.135800000000003</v>
      </c>
      <c r="D1042" s="8">
        <f>CHOOSE( CONTROL!$C$32, 40.1698, 40.1675) * CHOOSE( CONTROL!$C$15, $D$11, 100%, $F$11)</f>
        <v>40.169800000000002</v>
      </c>
      <c r="E1042" s="12">
        <f>CHOOSE( CONTROL!$C$32, 40.1559, 40.1536) * CHOOSE( CONTROL!$C$15, $D$11, 100%, $F$11)</f>
        <v>40.155900000000003</v>
      </c>
      <c r="F1042" s="4">
        <f>CHOOSE( CONTROL!$C$32, 40.8542, 40.8519) * CHOOSE(CONTROL!$C$15, $D$11, 100%, $F$11)</f>
        <v>40.854199999999999</v>
      </c>
      <c r="G1042" s="8">
        <f>CHOOSE( CONTROL!$C$32, 39.2259, 39.2237) * CHOOSE( CONTROL!$C$15, $D$11, 100%, $F$11)</f>
        <v>39.225900000000003</v>
      </c>
      <c r="H1042" s="4">
        <f>CHOOSE( CONTROL!$C$32, 40.1773, 40.175) * CHOOSE(CONTROL!$C$15, $D$11, 100%, $F$11)</f>
        <v>40.177300000000002</v>
      </c>
      <c r="I1042" s="8">
        <f>CHOOSE( CONTROL!$C$32, 38.6427, 38.6404) * CHOOSE(CONTROL!$C$15, $D$11, 100%, $F$11)</f>
        <v>38.642699999999998</v>
      </c>
      <c r="J1042" s="4">
        <f>CHOOSE( CONTROL!$C$32, 38.51, 38.5077) * CHOOSE(CONTROL!$C$15, $D$11, 100%, $F$11)</f>
        <v>38.51</v>
      </c>
      <c r="K1042" s="4"/>
      <c r="L1042" s="9">
        <v>29.7257</v>
      </c>
      <c r="M1042" s="9">
        <v>11.6745</v>
      </c>
      <c r="N1042" s="9">
        <v>4.7850000000000001</v>
      </c>
      <c r="O1042" s="9">
        <v>0.36199999999999999</v>
      </c>
      <c r="P1042" s="9">
        <v>1.1791</v>
      </c>
      <c r="Q1042" s="9">
        <v>19.053000000000001</v>
      </c>
      <c r="R1042" s="9"/>
      <c r="S1042" s="11"/>
    </row>
    <row r="1043" spans="1:19" ht="15.75">
      <c r="A1043" s="13">
        <v>73262</v>
      </c>
      <c r="B1043" s="8">
        <f>CHOOSE( CONTROL!$C$32, 41.8511, 41.8488) * CHOOSE(CONTROL!$C$15, $D$11, 100%, $F$11)</f>
        <v>41.851100000000002</v>
      </c>
      <c r="C1043" s="8">
        <f>CHOOSE( CONTROL!$C$32, 41.8617, 41.8594) * CHOOSE(CONTROL!$C$15, $D$11, 100%, $F$11)</f>
        <v>41.861699999999999</v>
      </c>
      <c r="D1043" s="8">
        <f>CHOOSE( CONTROL!$C$32, 41.8959, 41.8936) * CHOOSE( CONTROL!$C$15, $D$11, 100%, $F$11)</f>
        <v>41.895899999999997</v>
      </c>
      <c r="E1043" s="12">
        <f>CHOOSE( CONTROL!$C$32, 41.8819, 41.8796) * CHOOSE( CONTROL!$C$15, $D$11, 100%, $F$11)</f>
        <v>41.881900000000002</v>
      </c>
      <c r="F1043" s="4">
        <f>CHOOSE( CONTROL!$C$32, 42.5801, 42.5778) * CHOOSE(CONTROL!$C$15, $D$11, 100%, $F$11)</f>
        <v>42.580100000000002</v>
      </c>
      <c r="G1043" s="8">
        <f>CHOOSE( CONTROL!$C$32, 40.9136, 40.9114) * CHOOSE( CONTROL!$C$15, $D$11, 100%, $F$11)</f>
        <v>40.913600000000002</v>
      </c>
      <c r="H1043" s="4">
        <f>CHOOSE( CONTROL!$C$32, 41.8646, 41.8624) * CHOOSE(CONTROL!$C$15, $D$11, 100%, $F$11)</f>
        <v>41.864600000000003</v>
      </c>
      <c r="I1043" s="8">
        <f>CHOOSE( CONTROL!$C$32, 40.3015, 40.2993) * CHOOSE(CONTROL!$C$15, $D$11, 100%, $F$11)</f>
        <v>40.301499999999997</v>
      </c>
      <c r="J1043" s="4">
        <f>CHOOSE( CONTROL!$C$32, 40.167, 40.1647) * CHOOSE(CONTROL!$C$15, $D$11, 100%, $F$11)</f>
        <v>40.167000000000002</v>
      </c>
      <c r="K1043" s="4"/>
      <c r="L1043" s="9">
        <v>30.7165</v>
      </c>
      <c r="M1043" s="9">
        <v>12.063700000000001</v>
      </c>
      <c r="N1043" s="9">
        <v>4.9444999999999997</v>
      </c>
      <c r="O1043" s="9">
        <v>0.37409999999999999</v>
      </c>
      <c r="P1043" s="9">
        <v>1.2183999999999999</v>
      </c>
      <c r="Q1043" s="9">
        <v>19.688099999999999</v>
      </c>
      <c r="R1043" s="9"/>
      <c r="S1043" s="11"/>
    </row>
    <row r="1044" spans="1:19" ht="15.75">
      <c r="A1044" s="13">
        <v>73293</v>
      </c>
      <c r="B1044" s="8">
        <f>CHOOSE( CONTROL!$C$32, 38.6219, 38.6196) * CHOOSE(CONTROL!$C$15, $D$11, 100%, $F$11)</f>
        <v>38.621899999999997</v>
      </c>
      <c r="C1044" s="8">
        <f>CHOOSE( CONTROL!$C$32, 38.6324, 38.6301) * CHOOSE(CONTROL!$C$15, $D$11, 100%, $F$11)</f>
        <v>38.632399999999997</v>
      </c>
      <c r="D1044" s="8">
        <f>CHOOSE( CONTROL!$C$32, 38.6667, 38.6644) * CHOOSE( CONTROL!$C$15, $D$11, 100%, $F$11)</f>
        <v>38.666699999999999</v>
      </c>
      <c r="E1044" s="12">
        <f>CHOOSE( CONTROL!$C$32, 38.6527, 38.6504) * CHOOSE( CONTROL!$C$15, $D$11, 100%, $F$11)</f>
        <v>38.652700000000003</v>
      </c>
      <c r="F1044" s="4">
        <f>CHOOSE( CONTROL!$C$32, 39.3508, 39.3485) * CHOOSE(CONTROL!$C$15, $D$11, 100%, $F$11)</f>
        <v>39.3508</v>
      </c>
      <c r="G1044" s="8">
        <f>CHOOSE( CONTROL!$C$32, 37.7564, 37.7542) * CHOOSE( CONTROL!$C$15, $D$11, 100%, $F$11)</f>
        <v>37.756399999999999</v>
      </c>
      <c r="H1044" s="4">
        <f>CHOOSE( CONTROL!$C$32, 38.7074, 38.7051) * CHOOSE(CONTROL!$C$15, $D$11, 100%, $F$11)</f>
        <v>38.7074</v>
      </c>
      <c r="I1044" s="8">
        <f>CHOOSE( CONTROL!$C$32, 37.1998, 37.1976) * CHOOSE(CONTROL!$C$15, $D$11, 100%, $F$11)</f>
        <v>37.199800000000003</v>
      </c>
      <c r="J1044" s="4">
        <f>CHOOSE( CONTROL!$C$32, 37.0665, 37.0643) * CHOOSE(CONTROL!$C$15, $D$11, 100%, $F$11)</f>
        <v>37.066499999999998</v>
      </c>
      <c r="K1044" s="4"/>
      <c r="L1044" s="9">
        <v>30.7165</v>
      </c>
      <c r="M1044" s="9">
        <v>12.063700000000001</v>
      </c>
      <c r="N1044" s="9">
        <v>4.9444999999999997</v>
      </c>
      <c r="O1044" s="9">
        <v>0.37409999999999999</v>
      </c>
      <c r="P1044" s="9">
        <v>1.2183999999999999</v>
      </c>
      <c r="Q1044" s="9">
        <v>19.688099999999999</v>
      </c>
      <c r="R1044" s="9"/>
      <c r="S1044" s="11"/>
    </row>
    <row r="1045" spans="1:19" ht="15.75">
      <c r="A1045" s="13">
        <v>73323</v>
      </c>
      <c r="B1045" s="8">
        <f>CHOOSE( CONTROL!$C$32, 37.8132, 37.8109) * CHOOSE(CONTROL!$C$15, $D$11, 100%, $F$11)</f>
        <v>37.813200000000002</v>
      </c>
      <c r="C1045" s="8">
        <f>CHOOSE( CONTROL!$C$32, 37.8238, 37.8215) * CHOOSE(CONTROL!$C$15, $D$11, 100%, $F$11)</f>
        <v>37.823799999999999</v>
      </c>
      <c r="D1045" s="8">
        <f>CHOOSE( CONTROL!$C$32, 37.858, 37.8557) * CHOOSE( CONTROL!$C$15, $D$11, 100%, $F$11)</f>
        <v>37.857999999999997</v>
      </c>
      <c r="E1045" s="12">
        <f>CHOOSE( CONTROL!$C$32, 37.844, 37.8417) * CHOOSE( CONTROL!$C$15, $D$11, 100%, $F$11)</f>
        <v>37.844000000000001</v>
      </c>
      <c r="F1045" s="4">
        <f>CHOOSE( CONTROL!$C$32, 38.5422, 38.5399) * CHOOSE(CONTROL!$C$15, $D$11, 100%, $F$11)</f>
        <v>38.542200000000001</v>
      </c>
      <c r="G1045" s="8">
        <f>CHOOSE( CONTROL!$C$32, 36.9658, 36.9635) * CHOOSE( CONTROL!$C$15, $D$11, 100%, $F$11)</f>
        <v>36.965800000000002</v>
      </c>
      <c r="H1045" s="4">
        <f>CHOOSE( CONTROL!$C$32, 37.9168, 37.9145) * CHOOSE(CONTROL!$C$15, $D$11, 100%, $F$11)</f>
        <v>37.916800000000002</v>
      </c>
      <c r="I1045" s="8">
        <f>CHOOSE( CONTROL!$C$32, 36.4229, 36.4207) * CHOOSE(CONTROL!$C$15, $D$11, 100%, $F$11)</f>
        <v>36.422899999999998</v>
      </c>
      <c r="J1045" s="4">
        <f>CHOOSE( CONTROL!$C$32, 36.2901, 36.2879) * CHOOSE(CONTROL!$C$15, $D$11, 100%, $F$11)</f>
        <v>36.290100000000002</v>
      </c>
      <c r="K1045" s="4"/>
      <c r="L1045" s="9">
        <v>29.7257</v>
      </c>
      <c r="M1045" s="9">
        <v>11.6745</v>
      </c>
      <c r="N1045" s="9">
        <v>4.7850000000000001</v>
      </c>
      <c r="O1045" s="9">
        <v>0.36199999999999999</v>
      </c>
      <c r="P1045" s="9">
        <v>1.1791</v>
      </c>
      <c r="Q1045" s="9">
        <v>19.053000000000001</v>
      </c>
      <c r="R1045" s="9"/>
      <c r="S1045" s="11"/>
    </row>
    <row r="1046" spans="1:19" ht="15.75">
      <c r="A1046" s="13">
        <v>73354</v>
      </c>
      <c r="B1046" s="8">
        <f>39.4901 * CHOOSE(CONTROL!$C$15, $D$11, 100%, $F$11)</f>
        <v>39.490099999999998</v>
      </c>
      <c r="C1046" s="8">
        <f>39.5008 * CHOOSE(CONTROL!$C$15, $D$11, 100%, $F$11)</f>
        <v>39.500799999999998</v>
      </c>
      <c r="D1046" s="8">
        <f>39.5362 * CHOOSE( CONTROL!$C$15, $D$11, 100%, $F$11)</f>
        <v>39.536200000000001</v>
      </c>
      <c r="E1046" s="12">
        <f>39.5234 * CHOOSE( CONTROL!$C$15, $D$11, 100%, $F$11)</f>
        <v>39.523400000000002</v>
      </c>
      <c r="F1046" s="4">
        <f>40.2189 * CHOOSE(CONTROL!$C$15, $D$11, 100%, $F$11)</f>
        <v>40.218899999999998</v>
      </c>
      <c r="G1046" s="8">
        <f>38.6049 * CHOOSE( CONTROL!$C$15, $D$11, 100%, $F$11)</f>
        <v>38.604900000000001</v>
      </c>
      <c r="H1046" s="4">
        <f>39.5561 * CHOOSE(CONTROL!$C$15, $D$11, 100%, $F$11)</f>
        <v>39.556100000000001</v>
      </c>
      <c r="I1046" s="8">
        <f>38.0344 * CHOOSE(CONTROL!$C$15, $D$11, 100%, $F$11)</f>
        <v>38.034399999999998</v>
      </c>
      <c r="J1046" s="4">
        <f>37.9 * CHOOSE(CONTROL!$C$15, $D$11, 100%, $F$11)</f>
        <v>37.9</v>
      </c>
      <c r="K1046" s="4"/>
      <c r="L1046" s="9">
        <v>31.095300000000002</v>
      </c>
      <c r="M1046" s="9">
        <v>12.063700000000001</v>
      </c>
      <c r="N1046" s="9">
        <v>4.9444999999999997</v>
      </c>
      <c r="O1046" s="9">
        <v>0.37409999999999999</v>
      </c>
      <c r="P1046" s="9">
        <v>1.2183999999999999</v>
      </c>
      <c r="Q1046" s="9">
        <v>19.688099999999999</v>
      </c>
      <c r="R1046" s="9"/>
      <c r="S1046" s="11"/>
    </row>
    <row r="1047" spans="1:19" ht="15.75">
      <c r="A1047" s="13">
        <v>73384</v>
      </c>
      <c r="B1047" s="8">
        <f>42.5892 * CHOOSE(CONTROL!$C$15, $D$11, 100%, $F$11)</f>
        <v>42.589199999999998</v>
      </c>
      <c r="C1047" s="8">
        <f>42.6 * CHOOSE(CONTROL!$C$15, $D$11, 100%, $F$11)</f>
        <v>42.6</v>
      </c>
      <c r="D1047" s="8">
        <f>42.5761 * CHOOSE( CONTROL!$C$15, $D$11, 100%, $F$11)</f>
        <v>42.576099999999997</v>
      </c>
      <c r="E1047" s="12">
        <f>42.5837 * CHOOSE( CONTROL!$C$15, $D$11, 100%, $F$11)</f>
        <v>42.5837</v>
      </c>
      <c r="F1047" s="4">
        <f>43.2503 * CHOOSE(CONTROL!$C$15, $D$11, 100%, $F$11)</f>
        <v>43.250300000000003</v>
      </c>
      <c r="G1047" s="8">
        <f>41.6349 * CHOOSE( CONTROL!$C$15, $D$11, 100%, $F$11)</f>
        <v>41.634900000000002</v>
      </c>
      <c r="H1047" s="4">
        <f>42.5199 * CHOOSE(CONTROL!$C$15, $D$11, 100%, $F$11)</f>
        <v>42.5199</v>
      </c>
      <c r="I1047" s="8">
        <f>41.0547 * CHOOSE(CONTROL!$C$15, $D$11, 100%, $F$11)</f>
        <v>41.054699999999997</v>
      </c>
      <c r="J1047" s="4">
        <f>40.8755 * CHOOSE(CONTROL!$C$15, $D$11, 100%, $F$11)</f>
        <v>40.875500000000002</v>
      </c>
      <c r="K1047" s="4"/>
      <c r="L1047" s="9">
        <v>28.360600000000002</v>
      </c>
      <c r="M1047" s="9">
        <v>11.6745</v>
      </c>
      <c r="N1047" s="9">
        <v>4.7850000000000001</v>
      </c>
      <c r="O1047" s="9">
        <v>0.36199999999999999</v>
      </c>
      <c r="P1047" s="9">
        <v>1.2509999999999999</v>
      </c>
      <c r="Q1047" s="9">
        <v>19.053000000000001</v>
      </c>
      <c r="R1047" s="9"/>
      <c r="S1047" s="11"/>
    </row>
    <row r="1048" spans="1:19" ht="15.75">
      <c r="A1048" s="13">
        <v>73415</v>
      </c>
      <c r="B1048" s="8">
        <f>42.5118 * CHOOSE(CONTROL!$C$15, $D$11, 100%, $F$11)</f>
        <v>42.511800000000001</v>
      </c>
      <c r="C1048" s="8">
        <f>42.5226 * CHOOSE(CONTROL!$C$15, $D$11, 100%, $F$11)</f>
        <v>42.522599999999997</v>
      </c>
      <c r="D1048" s="8">
        <f>42.5003 * CHOOSE( CONTROL!$C$15, $D$11, 100%, $F$11)</f>
        <v>42.500300000000003</v>
      </c>
      <c r="E1048" s="12">
        <f>42.5073 * CHOOSE( CONTROL!$C$15, $D$11, 100%, $F$11)</f>
        <v>42.507300000000001</v>
      </c>
      <c r="F1048" s="4">
        <f>43.1729 * CHOOSE(CONTROL!$C$15, $D$11, 100%, $F$11)</f>
        <v>43.172899999999998</v>
      </c>
      <c r="G1048" s="8">
        <f>41.5605 * CHOOSE( CONTROL!$C$15, $D$11, 100%, $F$11)</f>
        <v>41.560499999999998</v>
      </c>
      <c r="H1048" s="4">
        <f>42.4442 * CHOOSE(CONTROL!$C$15, $D$11, 100%, $F$11)</f>
        <v>42.444200000000002</v>
      </c>
      <c r="I1048" s="8">
        <f>40.9855 * CHOOSE(CONTROL!$C$15, $D$11, 100%, $F$11)</f>
        <v>40.985500000000002</v>
      </c>
      <c r="J1048" s="4">
        <f>40.8011 * CHOOSE(CONTROL!$C$15, $D$11, 100%, $F$11)</f>
        <v>40.801099999999998</v>
      </c>
      <c r="K1048" s="4"/>
      <c r="L1048" s="9">
        <v>29.306000000000001</v>
      </c>
      <c r="M1048" s="9">
        <v>12.063700000000001</v>
      </c>
      <c r="N1048" s="9">
        <v>4.9444999999999997</v>
      </c>
      <c r="O1048" s="9">
        <v>0.37409999999999999</v>
      </c>
      <c r="P1048" s="9">
        <v>1.2927</v>
      </c>
      <c r="Q1048" s="9">
        <v>19.688099999999999</v>
      </c>
      <c r="R1048" s="9"/>
      <c r="S1048" s="11"/>
    </row>
    <row r="1049" spans="1:19">
      <c r="A1049" s="10"/>
      <c r="F1049" s="1"/>
      <c r="H1049" s="1"/>
      <c r="Q1049" s="9"/>
    </row>
    <row r="1050" spans="1:19" ht="15" customHeight="1">
      <c r="A1050" s="3">
        <v>2015</v>
      </c>
      <c r="B1050" s="8">
        <f t="shared" ref="B1050:H1050" si="1">AVERAGE(B17:B28)</f>
        <v>3.0304083333333334</v>
      </c>
      <c r="C1050" s="8">
        <f t="shared" si="1"/>
        <v>3.0410749999999998</v>
      </c>
      <c r="D1050" s="8">
        <f t="shared" si="1"/>
        <v>3.033925</v>
      </c>
      <c r="E1050" s="8">
        <f t="shared" si="1"/>
        <v>3.0350666666666668</v>
      </c>
      <c r="F1050" s="4">
        <f t="shared" si="1"/>
        <v>3.710458333333333</v>
      </c>
      <c r="G1050" s="8">
        <f t="shared" si="1"/>
        <v>2.9541916666666665</v>
      </c>
      <c r="H1050" s="4">
        <f t="shared" si="1"/>
        <v>3.8618416666666664</v>
      </c>
      <c r="I1050" s="8"/>
      <c r="J1050" s="4">
        <f>AVERAGE(J17:J28)</f>
        <v>2.8950833333333335</v>
      </c>
      <c r="K1050" s="4">
        <f>AVERAGE(K17:K28)</f>
        <v>2.9568999999999996</v>
      </c>
      <c r="L1050" s="5">
        <f>SUM(L17:L28)</f>
        <v>369.27089999999998</v>
      </c>
      <c r="M1050" s="5">
        <f>SUM(M17:M28)</f>
        <v>142.0401</v>
      </c>
      <c r="N1050" s="5">
        <f>SUM(N17:N28)</f>
        <v>58.217499999999994</v>
      </c>
      <c r="O1050" s="5">
        <f>SUM(O17:O28)</f>
        <v>7.2496000000000018</v>
      </c>
      <c r="P1050" s="5">
        <f>SUM(P17:P28)</f>
        <v>14.046099999999997</v>
      </c>
      <c r="Q1050" s="5"/>
      <c r="R1050" s="5">
        <f>SUM(R17:R28)</f>
        <v>3.5999999999999992</v>
      </c>
      <c r="S1050" s="5">
        <f>SUM(S17:S28)</f>
        <v>12.811500000000002</v>
      </c>
    </row>
    <row r="1051" spans="1:19" ht="15" customHeight="1">
      <c r="A1051" s="3">
        <v>2016</v>
      </c>
      <c r="B1051" s="8">
        <f t="shared" ref="B1051:H1051" si="2">AVERAGE(B29:B40)</f>
        <v>3.3366249999999997</v>
      </c>
      <c r="C1051" s="8">
        <f t="shared" si="2"/>
        <v>3.3472999999999993</v>
      </c>
      <c r="D1051" s="8">
        <f t="shared" si="2"/>
        <v>3.3473000000000006</v>
      </c>
      <c r="E1051" s="8">
        <f t="shared" si="2"/>
        <v>3.3462749999999999</v>
      </c>
      <c r="F1051" s="4">
        <f t="shared" si="2"/>
        <v>4.0373083333333328</v>
      </c>
      <c r="G1051" s="8">
        <f t="shared" si="2"/>
        <v>3.2574083333333328</v>
      </c>
      <c r="H1051" s="4">
        <f t="shared" si="2"/>
        <v>4.1813833333333337</v>
      </c>
      <c r="I1051" s="8"/>
      <c r="J1051" s="4">
        <f>AVERAGE(J29:J40)</f>
        <v>3.189083333333333</v>
      </c>
      <c r="K1051" s="5"/>
      <c r="L1051" s="5">
        <f>SUM(L29:L40)</f>
        <v>371.47629999999998</v>
      </c>
      <c r="M1051" s="5">
        <f>SUM(M29:M40)</f>
        <v>142.42920000000001</v>
      </c>
      <c r="N1051" s="5">
        <f>SUM(N29:N40)</f>
        <v>58.377000000000002</v>
      </c>
      <c r="O1051" s="5">
        <f>SUM(O29:O40)</f>
        <v>5.3597999999999999</v>
      </c>
      <c r="P1051" s="5">
        <f>SUM(P29:P40)</f>
        <v>17.840799999999998</v>
      </c>
      <c r="Q1051" s="5"/>
      <c r="R1051" s="5">
        <f>SUM(R29:R40)</f>
        <v>3.5999999999999992</v>
      </c>
      <c r="S1051" s="5"/>
    </row>
    <row r="1052" spans="1:19" ht="15" customHeight="1">
      <c r="A1052" s="3">
        <v>2017</v>
      </c>
      <c r="B1052" s="8">
        <f t="shared" ref="B1052:J1052" si="3">AVERAGE(B41:B52)</f>
        <v>3.5255666666666663</v>
      </c>
      <c r="C1052" s="8">
        <f t="shared" si="3"/>
        <v>3.5362583333333331</v>
      </c>
      <c r="D1052" s="8">
        <f t="shared" si="3"/>
        <v>3.5343</v>
      </c>
      <c r="E1052" s="8">
        <f t="shared" si="3"/>
        <v>3.5337583333333331</v>
      </c>
      <c r="F1052" s="4">
        <f t="shared" si="3"/>
        <v>4.2262500000000003</v>
      </c>
      <c r="G1052" s="8">
        <f t="shared" si="3"/>
        <v>3.4417000000000004</v>
      </c>
      <c r="H1052" s="4">
        <f t="shared" si="3"/>
        <v>4.3661166666666658</v>
      </c>
      <c r="I1052" s="8">
        <f t="shared" si="3"/>
        <v>3.4952083333333341</v>
      </c>
      <c r="J1052" s="4">
        <f t="shared" si="3"/>
        <v>3.3705000000000003</v>
      </c>
      <c r="K1052" s="4"/>
      <c r="L1052" s="5">
        <f t="shared" ref="L1052:Q1052" si="4">SUM(L41:L52)</f>
        <v>355.53689999999995</v>
      </c>
      <c r="M1052" s="5">
        <f t="shared" si="4"/>
        <v>142.0401</v>
      </c>
      <c r="N1052" s="5">
        <f t="shared" si="4"/>
        <v>58.217499999999994</v>
      </c>
      <c r="O1052" s="5">
        <f t="shared" si="4"/>
        <v>4.4046000000000003</v>
      </c>
      <c r="P1052" s="5">
        <f t="shared" si="4"/>
        <v>20.805900000000001</v>
      </c>
      <c r="Q1052" s="5">
        <f t="shared" si="4"/>
        <v>198.18529999999998</v>
      </c>
      <c r="R1052" s="5"/>
      <c r="S1052" s="4"/>
    </row>
    <row r="1053" spans="1:19" ht="15" customHeight="1">
      <c r="A1053" s="3">
        <v>2018</v>
      </c>
      <c r="B1053" s="8">
        <f t="shared" ref="B1053:J1053" si="5">AVERAGE(B53:B64)</f>
        <v>4.0209333333333337</v>
      </c>
      <c r="C1053" s="8">
        <f t="shared" si="5"/>
        <v>4.0316333333333327</v>
      </c>
      <c r="D1053" s="8">
        <f t="shared" si="5"/>
        <v>4.0431499999999998</v>
      </c>
      <c r="E1053" s="8">
        <f t="shared" si="5"/>
        <v>4.0378500000000006</v>
      </c>
      <c r="F1053" s="4">
        <f t="shared" si="5"/>
        <v>4.721591666666666</v>
      </c>
      <c r="G1053" s="8">
        <f t="shared" si="5"/>
        <v>3.9260249999999997</v>
      </c>
      <c r="H1053" s="4">
        <f t="shared" si="5"/>
        <v>4.8504416666666659</v>
      </c>
      <c r="I1053" s="8">
        <f t="shared" si="5"/>
        <v>3.9710499999999995</v>
      </c>
      <c r="J1053" s="4">
        <f t="shared" si="5"/>
        <v>3.8460999999999999</v>
      </c>
      <c r="K1053" s="4"/>
      <c r="L1053" s="5">
        <f t="shared" ref="L1053:Q1053" si="6">SUM(L53:L64)</f>
        <v>355.53689999999995</v>
      </c>
      <c r="M1053" s="5">
        <f t="shared" si="6"/>
        <v>142.0401</v>
      </c>
      <c r="N1053" s="5">
        <f t="shared" si="6"/>
        <v>58.217499999999994</v>
      </c>
      <c r="O1053" s="5">
        <f t="shared" si="6"/>
        <v>4.4046000000000003</v>
      </c>
      <c r="P1053" s="5">
        <f t="shared" si="6"/>
        <v>14.707600000000001</v>
      </c>
      <c r="Q1053" s="5">
        <f t="shared" si="6"/>
        <v>293.19730000000004</v>
      </c>
      <c r="R1053" s="5"/>
      <c r="S1053" s="4"/>
    </row>
    <row r="1054" spans="1:19" ht="15" customHeight="1">
      <c r="A1054" s="3">
        <v>2019</v>
      </c>
      <c r="B1054" s="8">
        <f t="shared" ref="B1054:J1054" si="7">AVERAGE(B65:B76)</f>
        <v>4.2337749999999996</v>
      </c>
      <c r="C1054" s="8">
        <f t="shared" si="7"/>
        <v>4.2444499999999996</v>
      </c>
      <c r="D1054" s="8">
        <f t="shared" si="7"/>
        <v>4.255983333333333</v>
      </c>
      <c r="E1054" s="8">
        <f t="shared" si="7"/>
        <v>4.2506750000000002</v>
      </c>
      <c r="F1054" s="4">
        <f t="shared" si="7"/>
        <v>4.9344083333333328</v>
      </c>
      <c r="G1054" s="8">
        <f t="shared" si="7"/>
        <v>4.1341166666666664</v>
      </c>
      <c r="H1054" s="4">
        <f t="shared" si="7"/>
        <v>5.0585250000000004</v>
      </c>
      <c r="I1054" s="8">
        <f t="shared" si="7"/>
        <v>4.1754833333333332</v>
      </c>
      <c r="J1054" s="4">
        <f t="shared" si="7"/>
        <v>4.0504416666666661</v>
      </c>
      <c r="K1054" s="4"/>
      <c r="L1054" s="5">
        <f t="shared" ref="L1054:Q1054" si="8">SUM(L65:L76)</f>
        <v>355.53689999999995</v>
      </c>
      <c r="M1054" s="5">
        <f t="shared" si="8"/>
        <v>142.0401</v>
      </c>
      <c r="N1054" s="5">
        <f t="shared" si="8"/>
        <v>58.217499999999994</v>
      </c>
      <c r="O1054" s="5">
        <f t="shared" si="8"/>
        <v>4.4046000000000003</v>
      </c>
      <c r="P1054" s="5">
        <f t="shared" si="8"/>
        <v>14.707600000000001</v>
      </c>
      <c r="Q1054" s="5">
        <f t="shared" si="8"/>
        <v>290.24799999999999</v>
      </c>
      <c r="R1054" s="5"/>
      <c r="S1054" s="4"/>
    </row>
    <row r="1055" spans="1:19" ht="15" customHeight="1">
      <c r="A1055" s="3">
        <v>2020</v>
      </c>
      <c r="B1055" s="8">
        <f t="shared" ref="B1055:J1055" si="9">AVERAGE(B77:B88)</f>
        <v>5.2235250000000004</v>
      </c>
      <c r="C1055" s="8">
        <f t="shared" si="9"/>
        <v>5.2342083333333322</v>
      </c>
      <c r="D1055" s="8">
        <f t="shared" si="9"/>
        <v>5.2457500000000001</v>
      </c>
      <c r="E1055" s="8">
        <f t="shared" si="9"/>
        <v>5.2404416666666673</v>
      </c>
      <c r="F1055" s="4">
        <f t="shared" si="9"/>
        <v>5.9241750000000009</v>
      </c>
      <c r="G1055" s="8">
        <f t="shared" si="9"/>
        <v>5.1017999999999999</v>
      </c>
      <c r="H1055" s="4">
        <f t="shared" si="9"/>
        <v>6.0261916666666657</v>
      </c>
      <c r="I1055" s="8">
        <f t="shared" si="9"/>
        <v>5.1262166666666671</v>
      </c>
      <c r="J1055" s="4">
        <f t="shared" si="9"/>
        <v>5.0006833333333338</v>
      </c>
      <c r="K1055" s="4"/>
      <c r="L1055" s="5">
        <f t="shared" ref="L1055:Q1055" si="10">SUM(L77:L88)</f>
        <v>356.48229999999995</v>
      </c>
      <c r="M1055" s="5">
        <f t="shared" si="10"/>
        <v>142.42920000000001</v>
      </c>
      <c r="N1055" s="5">
        <f t="shared" si="10"/>
        <v>58.377000000000002</v>
      </c>
      <c r="O1055" s="5">
        <f t="shared" si="10"/>
        <v>4.4165999999999999</v>
      </c>
      <c r="P1055" s="5">
        <f t="shared" si="10"/>
        <v>14.7493</v>
      </c>
      <c r="Q1055" s="5">
        <f t="shared" si="10"/>
        <v>349.04309999999998</v>
      </c>
      <c r="R1055" s="5"/>
      <c r="S1055" s="4"/>
    </row>
    <row r="1056" spans="1:19" ht="15" customHeight="1">
      <c r="A1056" s="3">
        <v>2021</v>
      </c>
      <c r="B1056" s="8">
        <f t="shared" ref="B1056:J1056" si="11">AVERAGE(B89:B100)</f>
        <v>5.6327249999999998</v>
      </c>
      <c r="C1056" s="8">
        <f t="shared" si="11"/>
        <v>5.6433999999999997</v>
      </c>
      <c r="D1056" s="8">
        <f t="shared" si="11"/>
        <v>5.6549500000000004</v>
      </c>
      <c r="E1056" s="8">
        <f t="shared" si="11"/>
        <v>5.6496416666666667</v>
      </c>
      <c r="F1056" s="4">
        <f t="shared" si="11"/>
        <v>6.3333916666666665</v>
      </c>
      <c r="G1056" s="8">
        <f t="shared" si="11"/>
        <v>5.5018666666666673</v>
      </c>
      <c r="H1056" s="4">
        <f t="shared" si="11"/>
        <v>6.4262750000000004</v>
      </c>
      <c r="I1056" s="8">
        <f t="shared" si="11"/>
        <v>5.519283333333334</v>
      </c>
      <c r="J1056" s="4">
        <f t="shared" si="11"/>
        <v>5.3935833333333321</v>
      </c>
      <c r="K1056" s="4"/>
      <c r="L1056" s="5">
        <f t="shared" ref="L1056:Q1056" si="12">SUM(L89:L100)</f>
        <v>355.53689999999995</v>
      </c>
      <c r="M1056" s="5">
        <f t="shared" si="12"/>
        <v>142.0401</v>
      </c>
      <c r="N1056" s="5">
        <f t="shared" si="12"/>
        <v>58.217499999999994</v>
      </c>
      <c r="O1056" s="5">
        <f t="shared" si="12"/>
        <v>4.4046000000000003</v>
      </c>
      <c r="P1056" s="5">
        <f t="shared" si="12"/>
        <v>14.707600000000001</v>
      </c>
      <c r="Q1056" s="5">
        <f t="shared" si="12"/>
        <v>388.68129999999996</v>
      </c>
      <c r="R1056" s="5"/>
      <c r="S1056" s="4"/>
    </row>
    <row r="1057" spans="1:19" ht="15" customHeight="1">
      <c r="A1057" s="3">
        <v>2022</v>
      </c>
      <c r="B1057" s="8">
        <f t="shared" ref="B1057:J1057" si="13">AVERAGE(B101:B112)</f>
        <v>5.9379166666666672</v>
      </c>
      <c r="C1057" s="8">
        <f t="shared" si="13"/>
        <v>5.9485833333333327</v>
      </c>
      <c r="D1057" s="8">
        <f t="shared" si="13"/>
        <v>5.9601250000000006</v>
      </c>
      <c r="E1057" s="8">
        <f t="shared" si="13"/>
        <v>5.954816666666666</v>
      </c>
      <c r="F1057" s="4">
        <f t="shared" si="13"/>
        <v>6.6385666666666667</v>
      </c>
      <c r="G1057" s="8">
        <f t="shared" si="13"/>
        <v>5.8002250000000002</v>
      </c>
      <c r="H1057" s="4">
        <f t="shared" si="13"/>
        <v>6.7246499999999996</v>
      </c>
      <c r="I1057" s="8">
        <f t="shared" si="13"/>
        <v>5.8124333333333338</v>
      </c>
      <c r="J1057" s="4">
        <f t="shared" si="13"/>
        <v>5.6865750000000004</v>
      </c>
      <c r="K1057" s="4"/>
      <c r="L1057" s="5">
        <f t="shared" ref="L1057:Q1057" si="14">SUM(L101:L112)</f>
        <v>355.53689999999995</v>
      </c>
      <c r="M1057" s="5">
        <f t="shared" si="14"/>
        <v>142.0401</v>
      </c>
      <c r="N1057" s="5">
        <f t="shared" si="14"/>
        <v>58.217499999999994</v>
      </c>
      <c r="O1057" s="5">
        <f t="shared" si="14"/>
        <v>4.4046000000000003</v>
      </c>
      <c r="P1057" s="5">
        <f t="shared" si="14"/>
        <v>14.707600000000001</v>
      </c>
      <c r="Q1057" s="5">
        <f t="shared" si="14"/>
        <v>386.33820000000003</v>
      </c>
      <c r="R1057" s="5"/>
      <c r="S1057" s="4"/>
    </row>
    <row r="1058" spans="1:19" ht="15" customHeight="1">
      <c r="A1058" s="3">
        <v>2023</v>
      </c>
      <c r="B1058" s="8">
        <f t="shared" ref="B1058:J1058" si="15">AVERAGE(B113:B124)</f>
        <v>6.1848583333333318</v>
      </c>
      <c r="C1058" s="8">
        <f t="shared" si="15"/>
        <v>6.1955416666666663</v>
      </c>
      <c r="D1058" s="8">
        <f t="shared" si="15"/>
        <v>6.2070833333333333</v>
      </c>
      <c r="E1058" s="8">
        <f t="shared" si="15"/>
        <v>6.2017666666666669</v>
      </c>
      <c r="F1058" s="4">
        <f t="shared" si="15"/>
        <v>6.8855083333333331</v>
      </c>
      <c r="G1058" s="8">
        <f t="shared" si="15"/>
        <v>6.0416833333333342</v>
      </c>
      <c r="H1058" s="4">
        <f t="shared" si="15"/>
        <v>6.9661</v>
      </c>
      <c r="I1058" s="8">
        <f t="shared" si="15"/>
        <v>6.049666666666667</v>
      </c>
      <c r="J1058" s="4">
        <f t="shared" si="15"/>
        <v>5.9236750000000002</v>
      </c>
      <c r="K1058" s="4"/>
      <c r="L1058" s="5">
        <f t="shared" ref="L1058:Q1058" si="16">SUM(L113:L124)</f>
        <v>355.53689999999995</v>
      </c>
      <c r="M1058" s="5">
        <f t="shared" si="16"/>
        <v>142.0401</v>
      </c>
      <c r="N1058" s="5">
        <f t="shared" si="16"/>
        <v>58.217499999999994</v>
      </c>
      <c r="O1058" s="5">
        <f t="shared" si="16"/>
        <v>4.4046000000000003</v>
      </c>
      <c r="P1058" s="5">
        <f t="shared" si="16"/>
        <v>14.707600000000001</v>
      </c>
      <c r="Q1058" s="5">
        <f t="shared" si="16"/>
        <v>384.12599999999998</v>
      </c>
      <c r="R1058" s="5"/>
      <c r="S1058" s="4"/>
    </row>
    <row r="1059" spans="1:19" ht="15" customHeight="1">
      <c r="A1059" s="3">
        <v>2024</v>
      </c>
      <c r="B1059" s="8">
        <f t="shared" ref="B1059:J1059" si="17">AVERAGE(B125:B136)</f>
        <v>6.3737916666666665</v>
      </c>
      <c r="C1059" s="8">
        <f t="shared" si="17"/>
        <v>6.384458333333332</v>
      </c>
      <c r="D1059" s="8">
        <f t="shared" si="17"/>
        <v>6.3960083333333335</v>
      </c>
      <c r="E1059" s="8">
        <f t="shared" si="17"/>
        <v>6.3907083333333325</v>
      </c>
      <c r="F1059" s="4">
        <f t="shared" si="17"/>
        <v>7.0744499999999997</v>
      </c>
      <c r="G1059" s="8">
        <f t="shared" si="17"/>
        <v>6.2263916666666672</v>
      </c>
      <c r="H1059" s="4">
        <f t="shared" si="17"/>
        <v>7.1507916666666667</v>
      </c>
      <c r="I1059" s="8">
        <f t="shared" si="17"/>
        <v>6.2311500000000004</v>
      </c>
      <c r="J1059" s="4">
        <f t="shared" si="17"/>
        <v>6.1050583333333321</v>
      </c>
      <c r="K1059" s="4"/>
      <c r="L1059" s="5">
        <f t="shared" ref="L1059:Q1059" si="18">SUM(L125:L136)</f>
        <v>356.48229999999995</v>
      </c>
      <c r="M1059" s="5">
        <f t="shared" si="18"/>
        <v>142.42920000000001</v>
      </c>
      <c r="N1059" s="5">
        <f t="shared" si="18"/>
        <v>58.377000000000002</v>
      </c>
      <c r="O1059" s="5">
        <f t="shared" si="18"/>
        <v>4.4165999999999999</v>
      </c>
      <c r="P1059" s="5">
        <f t="shared" si="18"/>
        <v>14.7493</v>
      </c>
      <c r="Q1059" s="5">
        <f t="shared" si="18"/>
        <v>383.00459999999998</v>
      </c>
      <c r="R1059" s="5"/>
      <c r="S1059" s="4"/>
    </row>
    <row r="1060" spans="1:19" ht="15" customHeight="1">
      <c r="A1060" s="3">
        <v>2025</v>
      </c>
      <c r="B1060" s="8">
        <f t="shared" ref="B1060:J1060" si="19">AVERAGE(B137:B148)</f>
        <v>6.567800000000001</v>
      </c>
      <c r="C1060" s="8">
        <f t="shared" si="19"/>
        <v>6.578475000000001</v>
      </c>
      <c r="D1060" s="8">
        <f t="shared" si="19"/>
        <v>6.5900250000000007</v>
      </c>
      <c r="E1060" s="8">
        <f t="shared" si="19"/>
        <v>6.5847166666666679</v>
      </c>
      <c r="F1060" s="4">
        <f t="shared" si="19"/>
        <v>7.2684500000000005</v>
      </c>
      <c r="G1060" s="8">
        <f t="shared" si="19"/>
        <v>6.4160916666666665</v>
      </c>
      <c r="H1060" s="4">
        <f t="shared" si="19"/>
        <v>7.3404916666666677</v>
      </c>
      <c r="I1060" s="8">
        <f t="shared" si="19"/>
        <v>6.4174833333333332</v>
      </c>
      <c r="J1060" s="4">
        <f t="shared" si="19"/>
        <v>6.2913416666666668</v>
      </c>
      <c r="K1060" s="4"/>
      <c r="L1060" s="5">
        <f t="shared" ref="L1060:Q1060" si="20">SUM(L137:L148)</f>
        <v>355.53689999999995</v>
      </c>
      <c r="M1060" s="5">
        <f t="shared" si="20"/>
        <v>142.0401</v>
      </c>
      <c r="N1060" s="5">
        <f t="shared" si="20"/>
        <v>58.217499999999994</v>
      </c>
      <c r="O1060" s="5">
        <f t="shared" si="20"/>
        <v>4.4046000000000003</v>
      </c>
      <c r="P1060" s="5">
        <f t="shared" si="20"/>
        <v>14.707600000000001</v>
      </c>
      <c r="Q1060" s="5">
        <f t="shared" si="20"/>
        <v>379.76819999999998</v>
      </c>
      <c r="R1060" s="5"/>
      <c r="S1060" s="4"/>
    </row>
    <row r="1061" spans="1:19" ht="15" customHeight="1">
      <c r="A1061" s="3">
        <v>2026</v>
      </c>
      <c r="B1061" s="8">
        <f t="shared" ref="B1061:J1061" si="21">AVERAGE(B149:B160)</f>
        <v>6.7670250000000003</v>
      </c>
      <c r="C1061" s="8">
        <f t="shared" si="21"/>
        <v>6.7777083333333339</v>
      </c>
      <c r="D1061" s="8">
        <f t="shared" si="21"/>
        <v>6.7892500000000018</v>
      </c>
      <c r="E1061" s="8">
        <f t="shared" si="21"/>
        <v>6.7839499999999999</v>
      </c>
      <c r="F1061" s="4">
        <f t="shared" si="21"/>
        <v>7.4676916666666671</v>
      </c>
      <c r="G1061" s="8">
        <f t="shared" si="21"/>
        <v>6.6108666666666664</v>
      </c>
      <c r="H1061" s="4">
        <f t="shared" si="21"/>
        <v>7.5352833333333331</v>
      </c>
      <c r="I1061" s="8">
        <f t="shared" si="21"/>
        <v>6.6088666666666676</v>
      </c>
      <c r="J1061" s="4">
        <f t="shared" si="21"/>
        <v>6.4826083333333342</v>
      </c>
      <c r="K1061" s="4"/>
      <c r="L1061" s="5">
        <f t="shared" ref="L1061:Q1061" si="22">SUM(L149:L160)</f>
        <v>355.53689999999995</v>
      </c>
      <c r="M1061" s="5">
        <f t="shared" si="22"/>
        <v>142.0401</v>
      </c>
      <c r="N1061" s="5">
        <f t="shared" si="22"/>
        <v>58.217499999999994</v>
      </c>
      <c r="O1061" s="5">
        <f t="shared" si="22"/>
        <v>4.4046000000000003</v>
      </c>
      <c r="P1061" s="5">
        <f t="shared" si="22"/>
        <v>14.707600000000001</v>
      </c>
      <c r="Q1061" s="5">
        <f t="shared" si="22"/>
        <v>377.59969999999987</v>
      </c>
      <c r="R1061" s="5"/>
      <c r="S1061" s="4"/>
    </row>
    <row r="1062" spans="1:19" ht="15" customHeight="1">
      <c r="A1062" s="3">
        <v>2027</v>
      </c>
      <c r="B1062" s="8">
        <f t="shared" ref="B1062:J1062" si="23">AVERAGE(B161:B172)</f>
        <v>6.9716083333333332</v>
      </c>
      <c r="C1062" s="8">
        <f t="shared" si="23"/>
        <v>6.9822833333333323</v>
      </c>
      <c r="D1062" s="8">
        <f t="shared" si="23"/>
        <v>6.9938166666666648</v>
      </c>
      <c r="E1062" s="8">
        <f t="shared" si="23"/>
        <v>6.9885166666666683</v>
      </c>
      <c r="F1062" s="4">
        <f t="shared" si="23"/>
        <v>7.6722583333333327</v>
      </c>
      <c r="G1062" s="8">
        <f t="shared" si="23"/>
        <v>6.810883333333333</v>
      </c>
      <c r="H1062" s="4">
        <f t="shared" si="23"/>
        <v>7.7353083333333323</v>
      </c>
      <c r="I1062" s="8">
        <f t="shared" si="23"/>
        <v>6.8053916666666661</v>
      </c>
      <c r="J1062" s="4">
        <f t="shared" si="23"/>
        <v>6.6790333333333338</v>
      </c>
      <c r="K1062" s="4"/>
      <c r="L1062" s="5">
        <f t="shared" ref="L1062:Q1062" si="24">SUM(L161:L172)</f>
        <v>355.53689999999995</v>
      </c>
      <c r="M1062" s="5">
        <f t="shared" si="24"/>
        <v>142.0401</v>
      </c>
      <c r="N1062" s="5">
        <f t="shared" si="24"/>
        <v>58.217499999999994</v>
      </c>
      <c r="O1062" s="5">
        <f t="shared" si="24"/>
        <v>4.4046000000000003</v>
      </c>
      <c r="P1062" s="5">
        <f t="shared" si="24"/>
        <v>14.707600000000001</v>
      </c>
      <c r="Q1062" s="5">
        <f t="shared" si="24"/>
        <v>375.43180000000001</v>
      </c>
      <c r="R1062" s="5"/>
      <c r="S1062" s="4"/>
    </row>
    <row r="1063" spans="1:19" ht="15" customHeight="1">
      <c r="A1063" s="3">
        <v>2028</v>
      </c>
      <c r="B1063" s="8">
        <f t="shared" ref="B1063:J1063" si="25">AVERAGE(B173:B184)</f>
        <v>7.1816749999999994</v>
      </c>
      <c r="C1063" s="8">
        <f t="shared" si="25"/>
        <v>7.1923416666666675</v>
      </c>
      <c r="D1063" s="8">
        <f t="shared" si="25"/>
        <v>7.2038833333333336</v>
      </c>
      <c r="E1063" s="8">
        <f t="shared" si="25"/>
        <v>7.1985749999999991</v>
      </c>
      <c r="F1063" s="4">
        <f t="shared" si="25"/>
        <v>7.8823249999999989</v>
      </c>
      <c r="G1063" s="8">
        <f t="shared" si="25"/>
        <v>7.016258333333333</v>
      </c>
      <c r="H1063" s="4">
        <f t="shared" si="25"/>
        <v>7.9406666666666679</v>
      </c>
      <c r="I1063" s="8">
        <f t="shared" si="25"/>
        <v>7.0071833333333347</v>
      </c>
      <c r="J1063" s="4">
        <f t="shared" si="25"/>
        <v>6.8807166666666673</v>
      </c>
      <c r="K1063" s="4"/>
      <c r="L1063" s="5">
        <f t="shared" ref="L1063:Q1063" si="26">SUM(L173:L184)</f>
        <v>356.48229999999995</v>
      </c>
      <c r="M1063" s="5">
        <f t="shared" si="26"/>
        <v>142.42920000000001</v>
      </c>
      <c r="N1063" s="5">
        <f t="shared" si="26"/>
        <v>58.377000000000002</v>
      </c>
      <c r="O1063" s="5">
        <f t="shared" si="26"/>
        <v>4.4165999999999999</v>
      </c>
      <c r="P1063" s="5">
        <f t="shared" si="26"/>
        <v>14.7493</v>
      </c>
      <c r="Q1063" s="5">
        <f t="shared" si="26"/>
        <v>374.28599999999994</v>
      </c>
      <c r="R1063" s="5"/>
      <c r="S1063" s="4"/>
    </row>
    <row r="1064" spans="1:19" ht="15" customHeight="1">
      <c r="A1064" s="3">
        <v>2029</v>
      </c>
      <c r="B1064" s="8">
        <f t="shared" ref="B1064:J1064" si="27">AVERAGE(B185:B196)</f>
        <v>7.3973333333333331</v>
      </c>
      <c r="C1064" s="8">
        <f t="shared" si="27"/>
        <v>7.4080249999999994</v>
      </c>
      <c r="D1064" s="8">
        <f t="shared" si="27"/>
        <v>7.4195666666666673</v>
      </c>
      <c r="E1064" s="8">
        <f t="shared" si="27"/>
        <v>7.4142666666666663</v>
      </c>
      <c r="F1064" s="4">
        <f t="shared" si="27"/>
        <v>8.097999999999999</v>
      </c>
      <c r="G1064" s="8">
        <f t="shared" si="27"/>
        <v>7.2271416666666672</v>
      </c>
      <c r="H1064" s="4">
        <f t="shared" si="27"/>
        <v>8.1515249999999995</v>
      </c>
      <c r="I1064" s="8">
        <f t="shared" si="27"/>
        <v>7.2143333333333333</v>
      </c>
      <c r="J1064" s="4">
        <f t="shared" si="27"/>
        <v>7.0878000000000005</v>
      </c>
      <c r="K1064" s="4"/>
      <c r="L1064" s="5">
        <f t="shared" ref="L1064:Q1064" si="28">SUM(L185:L196)</f>
        <v>355.53689999999995</v>
      </c>
      <c r="M1064" s="5">
        <f t="shared" si="28"/>
        <v>142.0401</v>
      </c>
      <c r="N1064" s="5">
        <f t="shared" si="28"/>
        <v>58.217499999999994</v>
      </c>
      <c r="O1064" s="5">
        <f t="shared" si="28"/>
        <v>4.4046000000000003</v>
      </c>
      <c r="P1064" s="5">
        <f t="shared" si="28"/>
        <v>14.707600000000001</v>
      </c>
      <c r="Q1064" s="5">
        <f t="shared" si="28"/>
        <v>371.09549999999996</v>
      </c>
      <c r="R1064" s="5"/>
      <c r="S1064" s="4"/>
    </row>
    <row r="1065" spans="1:19" ht="15" customHeight="1">
      <c r="A1065" s="3">
        <v>2030</v>
      </c>
      <c r="B1065" s="8">
        <f t="shared" ref="B1065:J1065" si="29">AVERAGE(B197:B208)</f>
        <v>7.6187750000000003</v>
      </c>
      <c r="C1065" s="8">
        <f t="shared" si="29"/>
        <v>7.6294749999999993</v>
      </c>
      <c r="D1065" s="8">
        <f t="shared" si="29"/>
        <v>7.6409916666666655</v>
      </c>
      <c r="E1065" s="8">
        <f t="shared" si="29"/>
        <v>7.6356916666666672</v>
      </c>
      <c r="F1065" s="4">
        <f t="shared" si="29"/>
        <v>8.3194333333333326</v>
      </c>
      <c r="G1065" s="8">
        <f t="shared" si="29"/>
        <v>7.4436249999999999</v>
      </c>
      <c r="H1065" s="4">
        <f t="shared" si="29"/>
        <v>8.3680416666666666</v>
      </c>
      <c r="I1065" s="8">
        <f t="shared" si="29"/>
        <v>7.4270500000000013</v>
      </c>
      <c r="J1065" s="4">
        <f t="shared" si="29"/>
        <v>7.3003749999999998</v>
      </c>
      <c r="K1065" s="4"/>
      <c r="L1065" s="5">
        <f t="shared" ref="L1065:Q1065" si="30">SUM(L197:L208)</f>
        <v>355.53689999999995</v>
      </c>
      <c r="M1065" s="5">
        <f t="shared" si="30"/>
        <v>142.0401</v>
      </c>
      <c r="N1065" s="5">
        <f t="shared" si="30"/>
        <v>58.217499999999994</v>
      </c>
      <c r="O1065" s="5">
        <f t="shared" si="30"/>
        <v>4.4046000000000003</v>
      </c>
      <c r="P1065" s="5">
        <f t="shared" si="30"/>
        <v>14.707600000000001</v>
      </c>
      <c r="Q1065" s="5">
        <f t="shared" si="30"/>
        <v>368.9276999999999</v>
      </c>
      <c r="R1065" s="5"/>
      <c r="S1065" s="4"/>
    </row>
    <row r="1066" spans="1:19" ht="15" customHeight="1">
      <c r="A1066" s="3">
        <v>2031</v>
      </c>
      <c r="B1066" s="8">
        <f t="shared" ref="B1066:J1066" si="31">AVERAGE(B209:B220)</f>
        <v>7.8461416666666652</v>
      </c>
      <c r="C1066" s="8">
        <f t="shared" si="31"/>
        <v>7.8568083333333334</v>
      </c>
      <c r="D1066" s="8">
        <f t="shared" si="31"/>
        <v>7.8683500000000004</v>
      </c>
      <c r="E1066" s="8">
        <f t="shared" si="31"/>
        <v>7.8630500000000003</v>
      </c>
      <c r="F1066" s="4">
        <f t="shared" si="31"/>
        <v>8.5467833333333321</v>
      </c>
      <c r="G1066" s="8">
        <f t="shared" si="31"/>
        <v>7.6659083333333333</v>
      </c>
      <c r="H1066" s="4">
        <f t="shared" si="31"/>
        <v>8.5903083333333345</v>
      </c>
      <c r="I1066" s="8">
        <f t="shared" si="31"/>
        <v>7.645433333333334</v>
      </c>
      <c r="J1066" s="4">
        <f t="shared" si="31"/>
        <v>7.5186750000000009</v>
      </c>
      <c r="K1066" s="4"/>
      <c r="L1066" s="5">
        <f t="shared" ref="L1066:Q1066" si="32">SUM(L209:L220)</f>
        <v>355.53689999999995</v>
      </c>
      <c r="M1066" s="5">
        <f t="shared" si="32"/>
        <v>142.0401</v>
      </c>
      <c r="N1066" s="5">
        <f t="shared" si="32"/>
        <v>58.217499999999994</v>
      </c>
      <c r="O1066" s="5">
        <f t="shared" si="32"/>
        <v>4.4046000000000003</v>
      </c>
      <c r="P1066" s="5">
        <f t="shared" si="32"/>
        <v>14.707600000000001</v>
      </c>
      <c r="Q1066" s="5">
        <f t="shared" si="32"/>
        <v>365.31420000000003</v>
      </c>
      <c r="R1066" s="5"/>
      <c r="S1066" s="4"/>
    </row>
    <row r="1067" spans="1:19" ht="15" customHeight="1">
      <c r="A1067" s="3">
        <v>2032</v>
      </c>
      <c r="B1067" s="8">
        <f t="shared" ref="B1067:J1067" si="33">AVERAGE(B221:B232)</f>
        <v>8.0795166666666649</v>
      </c>
      <c r="C1067" s="8">
        <f t="shared" si="33"/>
        <v>8.0902166666666684</v>
      </c>
      <c r="D1067" s="8">
        <f t="shared" si="33"/>
        <v>8.1017499999999991</v>
      </c>
      <c r="E1067" s="8">
        <f t="shared" si="33"/>
        <v>8.096449999999999</v>
      </c>
      <c r="F1067" s="4">
        <f t="shared" si="33"/>
        <v>8.7801833333333335</v>
      </c>
      <c r="G1067" s="8">
        <f t="shared" si="33"/>
        <v>7.8941000000000008</v>
      </c>
      <c r="H1067" s="4">
        <f t="shared" si="33"/>
        <v>8.8185166666666674</v>
      </c>
      <c r="I1067" s="8">
        <f t="shared" si="33"/>
        <v>7.8696333333333319</v>
      </c>
      <c r="J1067" s="4">
        <f t="shared" si="33"/>
        <v>7.7427749999999991</v>
      </c>
      <c r="K1067" s="4"/>
      <c r="L1067" s="5">
        <f t="shared" ref="L1067:Q1067" si="34">SUM(L221:L232)</f>
        <v>356.48229999999995</v>
      </c>
      <c r="M1067" s="5">
        <f t="shared" si="34"/>
        <v>142.42920000000001</v>
      </c>
      <c r="N1067" s="5">
        <f t="shared" si="34"/>
        <v>58.377000000000002</v>
      </c>
      <c r="O1067" s="5">
        <f t="shared" si="34"/>
        <v>4.4165999999999999</v>
      </c>
      <c r="P1067" s="5">
        <f t="shared" si="34"/>
        <v>14.7493</v>
      </c>
      <c r="Q1067" s="5">
        <f t="shared" si="34"/>
        <v>364.46999999999997</v>
      </c>
      <c r="R1067" s="5"/>
      <c r="S1067" s="4"/>
    </row>
    <row r="1068" spans="1:19" ht="15" customHeight="1">
      <c r="A1068" s="3">
        <v>2033</v>
      </c>
      <c r="B1068" s="8">
        <f t="shared" ref="B1068:J1068" si="35">AVERAGE(B233:B244)</f>
        <v>8.319133333333335</v>
      </c>
      <c r="C1068" s="8">
        <f t="shared" si="35"/>
        <v>8.329816666666666</v>
      </c>
      <c r="D1068" s="8">
        <f t="shared" si="35"/>
        <v>8.3413499999999985</v>
      </c>
      <c r="E1068" s="8">
        <f t="shared" si="35"/>
        <v>8.3360416666666666</v>
      </c>
      <c r="F1068" s="4">
        <f t="shared" si="35"/>
        <v>9.0197916666666647</v>
      </c>
      <c r="G1068" s="8">
        <f t="shared" si="35"/>
        <v>8.1283499999999993</v>
      </c>
      <c r="H1068" s="4">
        <f t="shared" si="35"/>
        <v>9.0527749999999987</v>
      </c>
      <c r="I1068" s="8">
        <f t="shared" si="35"/>
        <v>8.0998000000000001</v>
      </c>
      <c r="J1068" s="4">
        <f t="shared" si="35"/>
        <v>7.9727999999999994</v>
      </c>
      <c r="K1068" s="4"/>
      <c r="L1068" s="5">
        <f t="shared" ref="L1068:Q1068" si="36">SUM(L233:L244)</f>
        <v>355.53689999999995</v>
      </c>
      <c r="M1068" s="5">
        <f t="shared" si="36"/>
        <v>142.0401</v>
      </c>
      <c r="N1068" s="5">
        <f t="shared" si="36"/>
        <v>58.217499999999994</v>
      </c>
      <c r="O1068" s="5">
        <f t="shared" si="36"/>
        <v>4.4046000000000003</v>
      </c>
      <c r="P1068" s="5">
        <f t="shared" si="36"/>
        <v>14.707600000000001</v>
      </c>
      <c r="Q1068" s="5">
        <f t="shared" si="36"/>
        <v>362.33550000000002</v>
      </c>
      <c r="R1068" s="5"/>
      <c r="S1068" s="4"/>
    </row>
    <row r="1069" spans="1:19" ht="15" customHeight="1">
      <c r="A1069" s="3">
        <v>2034</v>
      </c>
      <c r="B1069" s="8">
        <f t="shared" ref="B1069:J1069" si="37">AVERAGE(B245:B256)</f>
        <v>8.4852000000000007</v>
      </c>
      <c r="C1069" s="8">
        <f t="shared" si="37"/>
        <v>8.4958916666666671</v>
      </c>
      <c r="D1069" s="8">
        <f t="shared" si="37"/>
        <v>8.5074083333333341</v>
      </c>
      <c r="E1069" s="8">
        <f t="shared" si="37"/>
        <v>8.5021083333333323</v>
      </c>
      <c r="F1069" s="4">
        <f t="shared" si="37"/>
        <v>9.1858583333333339</v>
      </c>
      <c r="G1069" s="8">
        <f t="shared" si="37"/>
        <v>8.2907083333333329</v>
      </c>
      <c r="H1069" s="4">
        <f t="shared" si="37"/>
        <v>9.2151416666666677</v>
      </c>
      <c r="I1069" s="8">
        <f t="shared" si="37"/>
        <v>8.2593083333333333</v>
      </c>
      <c r="J1069" s="4">
        <f t="shared" si="37"/>
        <v>8.1322333333333319</v>
      </c>
      <c r="K1069" s="4"/>
      <c r="L1069" s="5">
        <f t="shared" ref="L1069:Q1069" si="38">SUM(L245:L256)</f>
        <v>355.53689999999995</v>
      </c>
      <c r="M1069" s="5">
        <f t="shared" si="38"/>
        <v>142.0401</v>
      </c>
      <c r="N1069" s="5">
        <f t="shared" si="38"/>
        <v>58.217499999999994</v>
      </c>
      <c r="O1069" s="5">
        <f t="shared" si="38"/>
        <v>4.4046000000000003</v>
      </c>
      <c r="P1069" s="5">
        <f t="shared" si="38"/>
        <v>14.707600000000001</v>
      </c>
      <c r="Q1069" s="5">
        <f t="shared" si="38"/>
        <v>361.59120000000007</v>
      </c>
      <c r="R1069" s="5"/>
      <c r="S1069" s="4"/>
    </row>
    <row r="1070" spans="1:19" ht="15" customHeight="1">
      <c r="A1070" s="3">
        <v>2035</v>
      </c>
      <c r="B1070" s="8">
        <f t="shared" ref="B1070:J1070" si="39">AVERAGE(B257:B268)</f>
        <v>8.6545666666666676</v>
      </c>
      <c r="C1070" s="8">
        <f t="shared" si="39"/>
        <v>8.6652666666666658</v>
      </c>
      <c r="D1070" s="8">
        <f t="shared" si="39"/>
        <v>8.6768000000000018</v>
      </c>
      <c r="E1070" s="8">
        <f t="shared" si="39"/>
        <v>8.6715000000000018</v>
      </c>
      <c r="F1070" s="4">
        <f t="shared" si="39"/>
        <v>9.3552333333333344</v>
      </c>
      <c r="G1070" s="8">
        <f t="shared" si="39"/>
        <v>8.4563166666666678</v>
      </c>
      <c r="H1070" s="4">
        <f t="shared" si="39"/>
        <v>9.380749999999999</v>
      </c>
      <c r="I1070" s="8">
        <f t="shared" si="39"/>
        <v>8.4220249999999997</v>
      </c>
      <c r="J1070" s="4">
        <f t="shared" si="39"/>
        <v>8.2948666666666675</v>
      </c>
      <c r="K1070" s="4"/>
      <c r="L1070" s="5">
        <f t="shared" ref="L1070:Q1070" si="40">SUM(L257:L268)</f>
        <v>355.53689999999995</v>
      </c>
      <c r="M1070" s="5">
        <f t="shared" si="40"/>
        <v>142.0401</v>
      </c>
      <c r="N1070" s="5">
        <f t="shared" si="40"/>
        <v>58.217499999999994</v>
      </c>
      <c r="O1070" s="5">
        <f t="shared" si="40"/>
        <v>4.4046000000000003</v>
      </c>
      <c r="P1070" s="5">
        <f t="shared" si="40"/>
        <v>14.707600000000001</v>
      </c>
      <c r="Q1070" s="5">
        <f t="shared" si="40"/>
        <v>360.82469999999995</v>
      </c>
      <c r="R1070" s="5"/>
      <c r="S1070" s="4"/>
    </row>
    <row r="1071" spans="1:19" ht="15" customHeight="1">
      <c r="A1071" s="3">
        <v>2036</v>
      </c>
      <c r="B1071" s="8">
        <f t="shared" ref="B1071:J1071" si="41">AVERAGE(B269:B280)</f>
        <v>8.8621499999999997</v>
      </c>
      <c r="C1071" s="8">
        <f t="shared" si="41"/>
        <v>8.8728250000000006</v>
      </c>
      <c r="D1071" s="8">
        <f t="shared" si="41"/>
        <v>8.8843666666666667</v>
      </c>
      <c r="E1071" s="8">
        <f t="shared" si="41"/>
        <v>8.8790666666666667</v>
      </c>
      <c r="F1071" s="4">
        <f t="shared" si="41"/>
        <v>9.5627916666666657</v>
      </c>
      <c r="G1071" s="8">
        <f t="shared" si="41"/>
        <v>8.6592666666666673</v>
      </c>
      <c r="H1071" s="4">
        <f t="shared" si="41"/>
        <v>9.5836749999999995</v>
      </c>
      <c r="I1071" s="8">
        <f t="shared" si="41"/>
        <v>8.6213999999999995</v>
      </c>
      <c r="J1071" s="4">
        <f t="shared" si="41"/>
        <v>8.4941416666666658</v>
      </c>
      <c r="K1071" s="4"/>
      <c r="L1071" s="5">
        <f t="shared" ref="L1071:Q1071" si="42">SUM(L269:L280)</f>
        <v>356.48229999999995</v>
      </c>
      <c r="M1071" s="5">
        <f t="shared" si="42"/>
        <v>142.42920000000001</v>
      </c>
      <c r="N1071" s="5">
        <f t="shared" si="42"/>
        <v>58.377000000000002</v>
      </c>
      <c r="O1071" s="5">
        <f t="shared" si="42"/>
        <v>4.4165999999999999</v>
      </c>
      <c r="P1071" s="5">
        <f t="shared" si="42"/>
        <v>14.7493</v>
      </c>
      <c r="Q1071" s="5">
        <f t="shared" si="42"/>
        <v>361.0446</v>
      </c>
      <c r="R1071" s="5"/>
      <c r="S1071" s="4"/>
    </row>
    <row r="1072" spans="1:19" ht="15" customHeight="1">
      <c r="A1072" s="3">
        <v>2037</v>
      </c>
      <c r="B1072" s="8">
        <f t="shared" ref="B1072:J1072" si="43">AVERAGE(B281:B292)</f>
        <v>9.0746833333333345</v>
      </c>
      <c r="C1072" s="8">
        <f t="shared" si="43"/>
        <v>9.0853749999999991</v>
      </c>
      <c r="D1072" s="8">
        <f t="shared" si="43"/>
        <v>9.0969166666666652</v>
      </c>
      <c r="E1072" s="8">
        <f t="shared" si="43"/>
        <v>9.0916083333333315</v>
      </c>
      <c r="F1072" s="4">
        <f t="shared" si="43"/>
        <v>9.7753500000000013</v>
      </c>
      <c r="G1072" s="8">
        <f t="shared" si="43"/>
        <v>8.8670749999999998</v>
      </c>
      <c r="H1072" s="4">
        <f t="shared" si="43"/>
        <v>9.7914833333333338</v>
      </c>
      <c r="I1072" s="8">
        <f t="shared" si="43"/>
        <v>8.8255750000000006</v>
      </c>
      <c r="J1072" s="4">
        <f t="shared" si="43"/>
        <v>8.6982083333333318</v>
      </c>
      <c r="K1072" s="4"/>
      <c r="L1072" s="5">
        <f t="shared" ref="L1072:Q1072" si="44">SUM(L281:L292)</f>
        <v>355.53689999999995</v>
      </c>
      <c r="M1072" s="5">
        <f t="shared" si="44"/>
        <v>142.0401</v>
      </c>
      <c r="N1072" s="5">
        <f t="shared" si="44"/>
        <v>58.217499999999994</v>
      </c>
      <c r="O1072" s="5">
        <f t="shared" si="44"/>
        <v>4.4046000000000003</v>
      </c>
      <c r="P1072" s="5">
        <f t="shared" si="44"/>
        <v>14.707600000000001</v>
      </c>
      <c r="Q1072" s="5">
        <f t="shared" si="44"/>
        <v>359.29169999999999</v>
      </c>
      <c r="R1072" s="5"/>
      <c r="S1072" s="4"/>
    </row>
    <row r="1073" spans="1:19" ht="15" customHeight="1">
      <c r="A1073" s="3">
        <f t="shared" ref="A1073:A1104" si="45">A1072+1</f>
        <v>2038</v>
      </c>
      <c r="B1073" s="8">
        <f t="shared" ref="B1073:J1073" si="46">AVERAGE(B293:B304)</f>
        <v>9.2923500000000008</v>
      </c>
      <c r="C1073" s="8">
        <f t="shared" si="46"/>
        <v>9.3030249999999999</v>
      </c>
      <c r="D1073" s="8">
        <f t="shared" si="46"/>
        <v>9.3145583333333342</v>
      </c>
      <c r="E1073" s="8">
        <f t="shared" si="46"/>
        <v>9.3092583333333341</v>
      </c>
      <c r="F1073" s="4">
        <f t="shared" si="46"/>
        <v>9.9930166666666658</v>
      </c>
      <c r="G1073" s="8">
        <f t="shared" si="46"/>
        <v>9.0798666666666676</v>
      </c>
      <c r="H1073" s="4">
        <f t="shared" si="46"/>
        <v>10.004291666666665</v>
      </c>
      <c r="I1073" s="8">
        <f t="shared" si="46"/>
        <v>9.0346499999999992</v>
      </c>
      <c r="J1073" s="4">
        <f t="shared" si="46"/>
        <v>8.907191666666666</v>
      </c>
      <c r="K1073" s="4"/>
      <c r="L1073" s="5">
        <f t="shared" ref="L1073:Q1073" si="47">SUM(L293:L304)</f>
        <v>355.53689999999995</v>
      </c>
      <c r="M1073" s="5">
        <f t="shared" si="47"/>
        <v>142.0401</v>
      </c>
      <c r="N1073" s="5">
        <f t="shared" si="47"/>
        <v>58.217499999999994</v>
      </c>
      <c r="O1073" s="5">
        <f t="shared" si="47"/>
        <v>4.4046000000000003</v>
      </c>
      <c r="P1073" s="5">
        <f t="shared" si="47"/>
        <v>14.707600000000001</v>
      </c>
      <c r="Q1073" s="5">
        <f t="shared" si="47"/>
        <v>358.54670000000004</v>
      </c>
      <c r="R1073" s="5"/>
      <c r="S1073" s="4"/>
    </row>
    <row r="1074" spans="1:19" ht="15" customHeight="1">
      <c r="A1074" s="3">
        <f t="shared" si="45"/>
        <v>2039</v>
      </c>
      <c r="B1074" s="8">
        <f t="shared" ref="B1074:J1074" si="48">AVERAGE(B305:B316)</f>
        <v>9.51525</v>
      </c>
      <c r="C1074" s="8">
        <f t="shared" si="48"/>
        <v>9.5259166666666655</v>
      </c>
      <c r="D1074" s="8">
        <f t="shared" si="48"/>
        <v>9.537466666666667</v>
      </c>
      <c r="E1074" s="8">
        <f t="shared" si="48"/>
        <v>9.5321666666666669</v>
      </c>
      <c r="F1074" s="4">
        <f t="shared" si="48"/>
        <v>10.2159</v>
      </c>
      <c r="G1074" s="8">
        <f t="shared" si="48"/>
        <v>9.2977833333333333</v>
      </c>
      <c r="H1074" s="4">
        <f t="shared" si="48"/>
        <v>10.222200000000001</v>
      </c>
      <c r="I1074" s="8">
        <f t="shared" si="48"/>
        <v>9.2487666666666666</v>
      </c>
      <c r="J1074" s="4">
        <f t="shared" si="48"/>
        <v>9.1211750000000027</v>
      </c>
      <c r="K1074" s="7"/>
      <c r="L1074" s="5">
        <f t="shared" ref="L1074:Q1074" si="49">SUM(L305:L316)</f>
        <v>355.53689999999995</v>
      </c>
      <c r="M1074" s="5">
        <f t="shared" si="49"/>
        <v>142.0401</v>
      </c>
      <c r="N1074" s="5">
        <f t="shared" si="49"/>
        <v>58.217499999999994</v>
      </c>
      <c r="O1074" s="5">
        <f t="shared" si="49"/>
        <v>4.4046000000000003</v>
      </c>
      <c r="P1074" s="5">
        <f t="shared" si="49"/>
        <v>14.707600000000001</v>
      </c>
      <c r="Q1074" s="5">
        <f t="shared" si="49"/>
        <v>357.78019999999998</v>
      </c>
      <c r="R1074" s="5"/>
      <c r="S1074" s="6"/>
    </row>
    <row r="1075" spans="1:19" ht="15" customHeight="1">
      <c r="A1075" s="3">
        <f t="shared" si="45"/>
        <v>2040</v>
      </c>
      <c r="B1075" s="8">
        <f t="shared" ref="B1075:J1075" si="50">AVERAGE(B317:B328)</f>
        <v>9.7434833333333337</v>
      </c>
      <c r="C1075" s="8">
        <f t="shared" si="50"/>
        <v>9.7541666666666664</v>
      </c>
      <c r="D1075" s="8">
        <f t="shared" si="50"/>
        <v>9.7657083333333325</v>
      </c>
      <c r="E1075" s="8">
        <f t="shared" si="50"/>
        <v>9.7604083333333342</v>
      </c>
      <c r="F1075" s="4">
        <f t="shared" si="50"/>
        <v>10.444141666666667</v>
      </c>
      <c r="G1075" s="8">
        <f t="shared" si="50"/>
        <v>9.5209333333333337</v>
      </c>
      <c r="H1075" s="4">
        <f t="shared" si="50"/>
        <v>10.445366666666667</v>
      </c>
      <c r="I1075" s="8">
        <f t="shared" si="50"/>
        <v>9.4679916666666646</v>
      </c>
      <c r="J1075" s="4">
        <f t="shared" si="50"/>
        <v>9.3403000000000009</v>
      </c>
      <c r="K1075" s="7"/>
      <c r="L1075" s="5">
        <f t="shared" ref="L1075:Q1075" si="51">SUM(L317:L328)</f>
        <v>356.48229999999995</v>
      </c>
      <c r="M1075" s="5">
        <f t="shared" si="51"/>
        <v>142.42920000000001</v>
      </c>
      <c r="N1075" s="5">
        <f t="shared" si="51"/>
        <v>58.377000000000002</v>
      </c>
      <c r="O1075" s="5">
        <f t="shared" si="51"/>
        <v>4.4165999999999999</v>
      </c>
      <c r="P1075" s="5">
        <f t="shared" si="51"/>
        <v>14.7493</v>
      </c>
      <c r="Q1075" s="5">
        <f t="shared" si="51"/>
        <v>357.99180000000001</v>
      </c>
      <c r="R1075" s="5"/>
      <c r="S1075" s="6"/>
    </row>
    <row r="1076" spans="1:19" ht="15" customHeight="1">
      <c r="A1076" s="3">
        <f t="shared" si="45"/>
        <v>2041</v>
      </c>
      <c r="B1076" s="8">
        <f t="shared" ref="B1076:J1076" si="52">AVERAGE(B329:B340)</f>
        <v>9.9772250000000007</v>
      </c>
      <c r="C1076" s="8">
        <f t="shared" si="52"/>
        <v>9.9878833333333343</v>
      </c>
      <c r="D1076" s="8">
        <f t="shared" si="52"/>
        <v>9.9994250000000005</v>
      </c>
      <c r="E1076" s="8">
        <f t="shared" si="52"/>
        <v>9.9941166666666668</v>
      </c>
      <c r="F1076" s="4">
        <f t="shared" si="52"/>
        <v>10.677883333333334</v>
      </c>
      <c r="G1076" s="8">
        <f t="shared" si="52"/>
        <v>9.7494583333333349</v>
      </c>
      <c r="H1076" s="4">
        <f t="shared" si="52"/>
        <v>10.673875000000001</v>
      </c>
      <c r="I1076" s="8">
        <f t="shared" si="52"/>
        <v>9.692516666666668</v>
      </c>
      <c r="J1076" s="4">
        <f t="shared" si="52"/>
        <v>9.5647000000000002</v>
      </c>
      <c r="K1076" s="7"/>
      <c r="L1076" s="5">
        <f t="shared" ref="L1076:Q1076" si="53">SUM(L329:L340)</f>
        <v>355.53689999999995</v>
      </c>
      <c r="M1076" s="5">
        <f t="shared" si="53"/>
        <v>142.0401</v>
      </c>
      <c r="N1076" s="5">
        <f t="shared" si="53"/>
        <v>58.217499999999994</v>
      </c>
      <c r="O1076" s="5">
        <f t="shared" si="53"/>
        <v>4.4046000000000003</v>
      </c>
      <c r="P1076" s="5">
        <f t="shared" si="53"/>
        <v>14.707600000000001</v>
      </c>
      <c r="Q1076" s="5">
        <f t="shared" si="53"/>
        <v>356.26930000000004</v>
      </c>
      <c r="R1076" s="5"/>
      <c r="S1076" s="6"/>
    </row>
    <row r="1077" spans="1:19" ht="15" customHeight="1">
      <c r="A1077" s="3">
        <f t="shared" si="45"/>
        <v>2042</v>
      </c>
      <c r="B1077" s="8">
        <f t="shared" ref="B1077:J1077" si="54">AVERAGE(B341:B352)</f>
        <v>10.21655</v>
      </c>
      <c r="C1077" s="8">
        <f t="shared" si="54"/>
        <v>10.227233333333334</v>
      </c>
      <c r="D1077" s="8">
        <f t="shared" si="54"/>
        <v>10.238775</v>
      </c>
      <c r="E1077" s="8">
        <f t="shared" si="54"/>
        <v>10.233475</v>
      </c>
      <c r="F1077" s="4">
        <f t="shared" si="54"/>
        <v>10.917200000000001</v>
      </c>
      <c r="G1077" s="8">
        <f t="shared" si="54"/>
        <v>9.9834750000000021</v>
      </c>
      <c r="H1077" s="4">
        <f t="shared" si="54"/>
        <v>10.907874999999999</v>
      </c>
      <c r="I1077" s="8">
        <f t="shared" si="54"/>
        <v>9.9224250000000005</v>
      </c>
      <c r="J1077" s="4">
        <f t="shared" si="54"/>
        <v>9.7945083333333329</v>
      </c>
      <c r="K1077" s="7"/>
      <c r="L1077" s="5">
        <f t="shared" ref="L1077:Q1077" si="55">SUM(L341:L352)</f>
        <v>355.53689999999995</v>
      </c>
      <c r="M1077" s="5">
        <f t="shared" si="55"/>
        <v>142.0401</v>
      </c>
      <c r="N1077" s="5">
        <f t="shared" si="55"/>
        <v>58.217499999999994</v>
      </c>
      <c r="O1077" s="5">
        <f t="shared" si="55"/>
        <v>4.4046000000000003</v>
      </c>
      <c r="P1077" s="5">
        <f t="shared" si="55"/>
        <v>14.707600000000001</v>
      </c>
      <c r="Q1077" s="5">
        <f t="shared" si="55"/>
        <v>242.47669999999997</v>
      </c>
      <c r="R1077" s="5"/>
      <c r="S1077" s="6"/>
    </row>
    <row r="1078" spans="1:19" ht="15" customHeight="1">
      <c r="A1078" s="3">
        <f t="shared" si="45"/>
        <v>2043</v>
      </c>
      <c r="B1078" s="8">
        <f t="shared" ref="B1078:J1078" si="56">AVERAGE(B353:B364)</f>
        <v>10.461650000000001</v>
      </c>
      <c r="C1078" s="8">
        <f t="shared" si="56"/>
        <v>10.472333333333333</v>
      </c>
      <c r="D1078" s="8">
        <f t="shared" si="56"/>
        <v>10.483874999999999</v>
      </c>
      <c r="E1078" s="8">
        <f t="shared" si="56"/>
        <v>10.478574999999999</v>
      </c>
      <c r="F1078" s="4">
        <f t="shared" si="56"/>
        <v>11.162308333333334</v>
      </c>
      <c r="G1078" s="8">
        <f t="shared" si="56"/>
        <v>10.223100000000001</v>
      </c>
      <c r="H1078" s="4">
        <f t="shared" si="56"/>
        <v>11.147516666666668</v>
      </c>
      <c r="I1078" s="8">
        <f t="shared" si="56"/>
        <v>10.157858333333332</v>
      </c>
      <c r="J1078" s="4">
        <f t="shared" si="56"/>
        <v>10.029825000000001</v>
      </c>
      <c r="K1078" s="7"/>
      <c r="L1078" s="5">
        <f t="shared" ref="L1078:Q1078" si="57">SUM(L353:L364)</f>
        <v>355.53689999999995</v>
      </c>
      <c r="M1078" s="5">
        <f t="shared" si="57"/>
        <v>142.0401</v>
      </c>
      <c r="N1078" s="5">
        <f t="shared" si="57"/>
        <v>58.217499999999994</v>
      </c>
      <c r="O1078" s="5">
        <f t="shared" si="57"/>
        <v>4.4046000000000003</v>
      </c>
      <c r="P1078" s="5">
        <f t="shared" si="57"/>
        <v>14.707600000000001</v>
      </c>
      <c r="Q1078" s="5">
        <f t="shared" si="57"/>
        <v>241.71019999999996</v>
      </c>
      <c r="R1078" s="5"/>
      <c r="S1078" s="6"/>
    </row>
    <row r="1079" spans="1:19" ht="15" customHeight="1">
      <c r="A1079" s="3">
        <f t="shared" si="45"/>
        <v>2044</v>
      </c>
      <c r="B1079" s="8">
        <f t="shared" ref="B1079:J1079" si="58">AVERAGE(B365:B376)</f>
        <v>10.712633333333331</v>
      </c>
      <c r="C1079" s="8">
        <f t="shared" si="58"/>
        <v>10.7233</v>
      </c>
      <c r="D1079" s="8">
        <f t="shared" si="58"/>
        <v>10.734841666666668</v>
      </c>
      <c r="E1079" s="8">
        <f t="shared" si="58"/>
        <v>10.729533333333334</v>
      </c>
      <c r="F1079" s="4">
        <f t="shared" si="58"/>
        <v>11.413291666666668</v>
      </c>
      <c r="G1079" s="8">
        <f t="shared" si="58"/>
        <v>10.468483333333333</v>
      </c>
      <c r="H1079" s="4">
        <f t="shared" si="58"/>
        <v>11.392883333333335</v>
      </c>
      <c r="I1079" s="8">
        <f t="shared" si="58"/>
        <v>10.398966666666666</v>
      </c>
      <c r="J1079" s="4">
        <f t="shared" si="58"/>
        <v>10.270791666666666</v>
      </c>
      <c r="K1079" s="7"/>
      <c r="L1079" s="5">
        <f t="shared" ref="L1079:Q1079" si="59">SUM(L365:L376)</f>
        <v>356.48229999999995</v>
      </c>
      <c r="M1079" s="5">
        <f t="shared" si="59"/>
        <v>142.42920000000001</v>
      </c>
      <c r="N1079" s="5">
        <f t="shared" si="59"/>
        <v>58.377000000000002</v>
      </c>
      <c r="O1079" s="5">
        <f t="shared" si="59"/>
        <v>4.4165999999999999</v>
      </c>
      <c r="P1079" s="5">
        <f t="shared" si="59"/>
        <v>14.7493</v>
      </c>
      <c r="Q1079" s="5">
        <f t="shared" si="59"/>
        <v>241.58220000000006</v>
      </c>
      <c r="R1079" s="5"/>
      <c r="S1079" s="6"/>
    </row>
    <row r="1080" spans="1:19" ht="15" customHeight="1">
      <c r="A1080" s="3">
        <f t="shared" si="45"/>
        <v>2045</v>
      </c>
      <c r="B1080" s="8">
        <f t="shared" ref="B1080:J1080" si="60">AVERAGE(B377:B388)</f>
        <v>10.969625000000001</v>
      </c>
      <c r="C1080" s="8">
        <f t="shared" si="60"/>
        <v>10.980341666666668</v>
      </c>
      <c r="D1080" s="8">
        <f t="shared" si="60"/>
        <v>10.991858333333333</v>
      </c>
      <c r="E1080" s="8">
        <f t="shared" si="60"/>
        <v>10.986558333333335</v>
      </c>
      <c r="F1080" s="4">
        <f t="shared" si="60"/>
        <v>11.670299999999999</v>
      </c>
      <c r="G1080" s="8">
        <f t="shared" si="60"/>
        <v>10.719758333333331</v>
      </c>
      <c r="H1080" s="4">
        <f t="shared" si="60"/>
        <v>11.644166666666669</v>
      </c>
      <c r="I1080" s="8">
        <f t="shared" si="60"/>
        <v>10.645824999999999</v>
      </c>
      <c r="J1080" s="4">
        <f t="shared" si="60"/>
        <v>10.517566666666667</v>
      </c>
      <c r="K1080" s="7"/>
      <c r="L1080" s="5">
        <f t="shared" ref="L1080:Q1080" si="61">SUM(L377:L388)</f>
        <v>355.53689999999995</v>
      </c>
      <c r="M1080" s="5">
        <f t="shared" si="61"/>
        <v>142.0401</v>
      </c>
      <c r="N1080" s="5">
        <f t="shared" si="61"/>
        <v>58.217499999999994</v>
      </c>
      <c r="O1080" s="5">
        <f t="shared" si="61"/>
        <v>4.4046000000000003</v>
      </c>
      <c r="P1080" s="5">
        <f t="shared" si="61"/>
        <v>14.707600000000001</v>
      </c>
      <c r="Q1080" s="5">
        <f t="shared" si="61"/>
        <v>240.15570000000002</v>
      </c>
      <c r="R1080" s="5"/>
      <c r="S1080" s="6"/>
    </row>
    <row r="1081" spans="1:19" ht="15" customHeight="1">
      <c r="A1081" s="3">
        <f t="shared" si="45"/>
        <v>2046</v>
      </c>
      <c r="B1081" s="8">
        <f t="shared" ref="B1081:J1081" si="62">AVERAGE(B389:B400)</f>
        <v>11.232833333333334</v>
      </c>
      <c r="C1081" s="8">
        <f t="shared" si="62"/>
        <v>11.243499999999999</v>
      </c>
      <c r="D1081" s="8">
        <f t="shared" si="62"/>
        <v>11.255058333333332</v>
      </c>
      <c r="E1081" s="8">
        <f t="shared" si="62"/>
        <v>11.249741666666665</v>
      </c>
      <c r="F1081" s="4">
        <f t="shared" si="62"/>
        <v>11.933508333333334</v>
      </c>
      <c r="G1081" s="8">
        <f t="shared" si="62"/>
        <v>10.9771</v>
      </c>
      <c r="H1081" s="4">
        <f t="shared" si="62"/>
        <v>11.901491666666665</v>
      </c>
      <c r="I1081" s="8">
        <f t="shared" si="62"/>
        <v>10.898650000000002</v>
      </c>
      <c r="J1081" s="4">
        <f t="shared" si="62"/>
        <v>10.770233333333335</v>
      </c>
      <c r="K1081" s="7"/>
      <c r="L1081" s="5">
        <f t="shared" ref="L1081:Q1081" si="63">SUM(L389:L400)</f>
        <v>355.53689999999995</v>
      </c>
      <c r="M1081" s="5">
        <f t="shared" si="63"/>
        <v>142.0401</v>
      </c>
      <c r="N1081" s="5">
        <f t="shared" si="63"/>
        <v>58.217499999999994</v>
      </c>
      <c r="O1081" s="5">
        <f t="shared" si="63"/>
        <v>4.4046000000000003</v>
      </c>
      <c r="P1081" s="5">
        <f t="shared" si="63"/>
        <v>14.707600000000001</v>
      </c>
      <c r="Q1081" s="5">
        <f t="shared" si="63"/>
        <v>239.38920000000005</v>
      </c>
      <c r="R1081" s="5"/>
      <c r="S1081" s="6"/>
    </row>
    <row r="1082" spans="1:19" ht="15" customHeight="1">
      <c r="A1082" s="3">
        <f t="shared" si="45"/>
        <v>2047</v>
      </c>
      <c r="B1082" s="8">
        <f t="shared" ref="B1082:J1082" si="64">AVERAGE(B401:B412)</f>
        <v>11.502358333333333</v>
      </c>
      <c r="C1082" s="8">
        <f t="shared" si="64"/>
        <v>11.513025000000001</v>
      </c>
      <c r="D1082" s="8">
        <f t="shared" si="64"/>
        <v>11.524583333333334</v>
      </c>
      <c r="E1082" s="8">
        <f t="shared" si="64"/>
        <v>11.519275</v>
      </c>
      <c r="F1082" s="4">
        <f t="shared" si="64"/>
        <v>12.203024999999998</v>
      </c>
      <c r="G1082" s="8">
        <f t="shared" si="64"/>
        <v>11.240600000000001</v>
      </c>
      <c r="H1082" s="4">
        <f t="shared" si="64"/>
        <v>12.165000000000001</v>
      </c>
      <c r="I1082" s="8">
        <f t="shared" si="64"/>
        <v>11.157533333333333</v>
      </c>
      <c r="J1082" s="4">
        <f t="shared" si="64"/>
        <v>11.029000000000002</v>
      </c>
      <c r="K1082" s="7"/>
      <c r="L1082" s="5">
        <f t="shared" ref="L1082:Q1082" si="65">SUM(L401:L412)</f>
        <v>355.53689999999995</v>
      </c>
      <c r="M1082" s="5">
        <f t="shared" si="65"/>
        <v>142.0401</v>
      </c>
      <c r="N1082" s="5">
        <f t="shared" si="65"/>
        <v>58.217499999999994</v>
      </c>
      <c r="O1082" s="5">
        <f t="shared" si="65"/>
        <v>4.4046000000000003</v>
      </c>
      <c r="P1082" s="5">
        <f t="shared" si="65"/>
        <v>14.707600000000001</v>
      </c>
      <c r="Q1082" s="5">
        <f t="shared" si="65"/>
        <v>238.62270000000004</v>
      </c>
      <c r="R1082" s="5"/>
      <c r="S1082" s="6"/>
    </row>
    <row r="1083" spans="1:19" ht="15" customHeight="1">
      <c r="A1083" s="3">
        <f t="shared" si="45"/>
        <v>2048</v>
      </c>
      <c r="B1083" s="8">
        <f t="shared" ref="B1083:J1083" si="66">AVERAGE(B413:B424)</f>
        <v>11.778325000000001</v>
      </c>
      <c r="C1083" s="8">
        <f t="shared" si="66"/>
        <v>11.789025000000002</v>
      </c>
      <c r="D1083" s="8">
        <f t="shared" si="66"/>
        <v>11.800558333333335</v>
      </c>
      <c r="E1083" s="8">
        <f t="shared" si="66"/>
        <v>11.795258333333335</v>
      </c>
      <c r="F1083" s="4">
        <f t="shared" si="66"/>
        <v>12.478991666666666</v>
      </c>
      <c r="G1083" s="8">
        <f t="shared" si="66"/>
        <v>11.510408333333332</v>
      </c>
      <c r="H1083" s="4">
        <f t="shared" si="66"/>
        <v>12.434824999999998</v>
      </c>
      <c r="I1083" s="8">
        <f t="shared" si="66"/>
        <v>11.422633333333335</v>
      </c>
      <c r="J1083" s="4">
        <f t="shared" si="66"/>
        <v>11.293974999999998</v>
      </c>
      <c r="K1083" s="7"/>
      <c r="L1083" s="5">
        <f t="shared" ref="L1083:Q1083" si="67">SUM(L413:L424)</f>
        <v>356.48229999999995</v>
      </c>
      <c r="M1083" s="5">
        <f t="shared" si="67"/>
        <v>142.42920000000001</v>
      </c>
      <c r="N1083" s="5">
        <f t="shared" si="67"/>
        <v>58.377000000000002</v>
      </c>
      <c r="O1083" s="5">
        <f t="shared" si="67"/>
        <v>4.4165999999999999</v>
      </c>
      <c r="P1083" s="5">
        <f t="shared" si="67"/>
        <v>14.7493</v>
      </c>
      <c r="Q1083" s="5">
        <f t="shared" si="67"/>
        <v>238.50780000000003</v>
      </c>
      <c r="R1083" s="5"/>
      <c r="S1083" s="6"/>
    </row>
    <row r="1084" spans="1:19" ht="15" customHeight="1">
      <c r="A1084" s="3">
        <f t="shared" si="45"/>
        <v>2049</v>
      </c>
      <c r="B1084" s="8">
        <f t="shared" ref="B1084:J1084" si="68">AVERAGE(B425:B436)</f>
        <v>12.060958333333334</v>
      </c>
      <c r="C1084" s="8">
        <f t="shared" si="68"/>
        <v>12.071633333333333</v>
      </c>
      <c r="D1084" s="8">
        <f t="shared" si="68"/>
        <v>12.083166666666665</v>
      </c>
      <c r="E1084" s="8">
        <f t="shared" si="68"/>
        <v>12.077866666666667</v>
      </c>
      <c r="F1084" s="4">
        <f t="shared" si="68"/>
        <v>12.76163333333333</v>
      </c>
      <c r="G1084" s="8">
        <f t="shared" si="68"/>
        <v>11.786741666666666</v>
      </c>
      <c r="H1084" s="4">
        <f t="shared" si="68"/>
        <v>12.711158333333332</v>
      </c>
      <c r="I1084" s="8">
        <f t="shared" si="68"/>
        <v>11.694125</v>
      </c>
      <c r="J1084" s="4">
        <f t="shared" si="68"/>
        <v>11.565316666666666</v>
      </c>
      <c r="K1084" s="7"/>
      <c r="L1084" s="5">
        <f t="shared" ref="L1084:Q1084" si="69">SUM(L425:L436)</f>
        <v>355.53689999999995</v>
      </c>
      <c r="M1084" s="5">
        <f t="shared" si="69"/>
        <v>142.0401</v>
      </c>
      <c r="N1084" s="5">
        <f t="shared" si="69"/>
        <v>58.217499999999994</v>
      </c>
      <c r="O1084" s="5">
        <f t="shared" si="69"/>
        <v>4.4046000000000003</v>
      </c>
      <c r="P1084" s="5">
        <f t="shared" si="69"/>
        <v>14.707600000000001</v>
      </c>
      <c r="Q1084" s="5">
        <f t="shared" si="69"/>
        <v>237.08969999999999</v>
      </c>
      <c r="R1084" s="5"/>
      <c r="S1084" s="6"/>
    </row>
    <row r="1085" spans="1:19" ht="15" customHeight="1">
      <c r="A1085" s="3">
        <f t="shared" si="45"/>
        <v>2050</v>
      </c>
      <c r="B1085" s="8">
        <f t="shared" ref="B1085:J1085" si="70">AVERAGE(B437:B448)</f>
        <v>12.350375</v>
      </c>
      <c r="C1085" s="8">
        <f t="shared" si="70"/>
        <v>12.361050000000001</v>
      </c>
      <c r="D1085" s="8">
        <f t="shared" si="70"/>
        <v>12.372583333333337</v>
      </c>
      <c r="E1085" s="8">
        <f t="shared" si="70"/>
        <v>12.367275000000001</v>
      </c>
      <c r="F1085" s="4">
        <f t="shared" si="70"/>
        <v>13.051025000000001</v>
      </c>
      <c r="G1085" s="8">
        <f t="shared" si="70"/>
        <v>12.069691666666666</v>
      </c>
      <c r="H1085" s="4">
        <f t="shared" si="70"/>
        <v>12.994108333333335</v>
      </c>
      <c r="I1085" s="8">
        <f t="shared" si="70"/>
        <v>11.972125</v>
      </c>
      <c r="J1085" s="4">
        <f t="shared" si="70"/>
        <v>11.843191666666664</v>
      </c>
      <c r="K1085" s="7"/>
      <c r="L1085" s="5">
        <f t="shared" ref="L1085:Q1085" si="71">SUM(L437:L448)</f>
        <v>355.53689999999995</v>
      </c>
      <c r="M1085" s="5">
        <f t="shared" si="71"/>
        <v>142.0401</v>
      </c>
      <c r="N1085" s="5">
        <f t="shared" si="71"/>
        <v>58.217499999999994</v>
      </c>
      <c r="O1085" s="5">
        <f t="shared" si="71"/>
        <v>4.4046000000000003</v>
      </c>
      <c r="P1085" s="5">
        <f t="shared" si="71"/>
        <v>14.707600000000001</v>
      </c>
      <c r="Q1085" s="5">
        <f t="shared" si="71"/>
        <v>236.32320000000004</v>
      </c>
      <c r="R1085" s="5"/>
      <c r="S1085" s="6"/>
    </row>
    <row r="1086" spans="1:19" ht="15" customHeight="1">
      <c r="A1086" s="3">
        <f t="shared" si="45"/>
        <v>2051</v>
      </c>
      <c r="B1086" s="8">
        <f t="shared" ref="B1086:J1086" si="72">AVERAGE(B449:B460)</f>
        <v>12.646741666666665</v>
      </c>
      <c r="C1086" s="8">
        <f t="shared" si="72"/>
        <v>12.657408333333334</v>
      </c>
      <c r="D1086" s="8">
        <f t="shared" si="72"/>
        <v>12.668950000000001</v>
      </c>
      <c r="E1086" s="8">
        <f t="shared" si="72"/>
        <v>12.663650000000002</v>
      </c>
      <c r="F1086" s="4">
        <f t="shared" si="72"/>
        <v>13.347391666666667</v>
      </c>
      <c r="G1086" s="8">
        <f t="shared" si="72"/>
        <v>12.359441666666667</v>
      </c>
      <c r="H1086" s="4">
        <f t="shared" si="72"/>
        <v>13.283866666666663</v>
      </c>
      <c r="I1086" s="8">
        <f t="shared" si="72"/>
        <v>12.256808333333334</v>
      </c>
      <c r="J1086" s="4">
        <f t="shared" si="72"/>
        <v>12.127725</v>
      </c>
      <c r="K1086" s="7"/>
      <c r="L1086" s="5">
        <f t="shared" ref="L1086:Q1086" si="73">SUM(L449:L460)</f>
        <v>355.53689999999995</v>
      </c>
      <c r="M1086" s="5">
        <f t="shared" si="73"/>
        <v>142.0401</v>
      </c>
      <c r="N1086" s="5">
        <f t="shared" si="73"/>
        <v>58.217499999999994</v>
      </c>
      <c r="O1086" s="5">
        <f t="shared" si="73"/>
        <v>4.4046000000000003</v>
      </c>
      <c r="P1086" s="5">
        <f t="shared" si="73"/>
        <v>14.707600000000001</v>
      </c>
      <c r="Q1086" s="5">
        <f t="shared" si="73"/>
        <v>235.57820000000007</v>
      </c>
      <c r="R1086" s="5"/>
      <c r="S1086" s="6"/>
    </row>
    <row r="1087" spans="1:19" ht="15" customHeight="1">
      <c r="A1087" s="3">
        <f t="shared" si="45"/>
        <v>2052</v>
      </c>
      <c r="B1087" s="8">
        <f t="shared" ref="B1087:J1087" si="74">AVERAGE(B461:B472)</f>
        <v>12.950216666666668</v>
      </c>
      <c r="C1087" s="8">
        <f t="shared" si="74"/>
        <v>12.960891666666667</v>
      </c>
      <c r="D1087" s="8">
        <f t="shared" si="74"/>
        <v>12.97245</v>
      </c>
      <c r="E1087" s="8">
        <f t="shared" si="74"/>
        <v>12.967141666666665</v>
      </c>
      <c r="F1087" s="4">
        <f t="shared" si="74"/>
        <v>13.650883333333335</v>
      </c>
      <c r="G1087" s="8">
        <f t="shared" si="74"/>
        <v>12.656174999999999</v>
      </c>
      <c r="H1087" s="4">
        <f t="shared" si="74"/>
        <v>13.580574999999998</v>
      </c>
      <c r="I1087" s="8">
        <f t="shared" si="74"/>
        <v>12.548333333333334</v>
      </c>
      <c r="J1087" s="4">
        <f t="shared" si="74"/>
        <v>12.419108333333332</v>
      </c>
      <c r="K1087" s="7"/>
      <c r="L1087" s="5">
        <f t="shared" ref="L1087:Q1087" si="75">SUM(L461:L472)</f>
        <v>356.48229999999995</v>
      </c>
      <c r="M1087" s="5">
        <f t="shared" si="75"/>
        <v>142.42920000000001</v>
      </c>
      <c r="N1087" s="5">
        <f t="shared" si="75"/>
        <v>58.377000000000002</v>
      </c>
      <c r="O1087" s="5">
        <f t="shared" si="75"/>
        <v>4.4165999999999999</v>
      </c>
      <c r="P1087" s="5">
        <f t="shared" si="75"/>
        <v>14.7493</v>
      </c>
      <c r="Q1087" s="5">
        <f t="shared" si="75"/>
        <v>235.45500000000004</v>
      </c>
      <c r="R1087" s="5"/>
      <c r="S1087" s="6"/>
    </row>
    <row r="1088" spans="1:19" ht="15" customHeight="1">
      <c r="A1088" s="3">
        <f t="shared" si="45"/>
        <v>2053</v>
      </c>
      <c r="B1088" s="8">
        <f t="shared" ref="B1088:J1088" si="76">AVERAGE(B473:B484)</f>
        <v>13.260991666666667</v>
      </c>
      <c r="C1088" s="8">
        <f t="shared" si="76"/>
        <v>13.271666666666668</v>
      </c>
      <c r="D1088" s="8">
        <f t="shared" si="76"/>
        <v>13.283216666666668</v>
      </c>
      <c r="E1088" s="8">
        <f t="shared" si="76"/>
        <v>13.277908333333334</v>
      </c>
      <c r="F1088" s="4">
        <f t="shared" si="76"/>
        <v>13.961666666666666</v>
      </c>
      <c r="G1088" s="8">
        <f t="shared" si="76"/>
        <v>12.960008333333334</v>
      </c>
      <c r="H1088" s="4">
        <f t="shared" si="76"/>
        <v>13.884425</v>
      </c>
      <c r="I1088" s="8">
        <f t="shared" si="76"/>
        <v>12.846841666666663</v>
      </c>
      <c r="J1088" s="4">
        <f t="shared" si="76"/>
        <v>12.717466666666667</v>
      </c>
      <c r="K1088" s="7"/>
      <c r="L1088" s="5">
        <f t="shared" ref="L1088:Q1088" si="77">SUM(L473:L484)</f>
        <v>355.53689999999995</v>
      </c>
      <c r="M1088" s="5">
        <f t="shared" si="77"/>
        <v>142.0401</v>
      </c>
      <c r="N1088" s="5">
        <f t="shared" si="77"/>
        <v>58.217499999999994</v>
      </c>
      <c r="O1088" s="5">
        <f t="shared" si="77"/>
        <v>4.4046000000000003</v>
      </c>
      <c r="P1088" s="5">
        <f t="shared" si="77"/>
        <v>14.707600000000001</v>
      </c>
      <c r="Q1088" s="5">
        <f t="shared" si="77"/>
        <v>234.04520000000002</v>
      </c>
      <c r="R1088" s="5"/>
      <c r="S1088" s="6"/>
    </row>
    <row r="1089" spans="1:19" ht="15" customHeight="1">
      <c r="A1089" s="3">
        <f t="shared" si="45"/>
        <v>2054</v>
      </c>
      <c r="B1089" s="8">
        <f t="shared" ref="B1089:J1089" si="78">AVERAGE(B485:B496)</f>
        <v>13.579233333333333</v>
      </c>
      <c r="C1089" s="8">
        <f t="shared" si="78"/>
        <v>13.589925000000001</v>
      </c>
      <c r="D1089" s="8">
        <f t="shared" si="78"/>
        <v>13.601450000000002</v>
      </c>
      <c r="E1089" s="8">
        <f t="shared" si="78"/>
        <v>13.596150000000002</v>
      </c>
      <c r="F1089" s="4">
        <f t="shared" si="78"/>
        <v>14.279899999999998</v>
      </c>
      <c r="G1089" s="8">
        <f t="shared" si="78"/>
        <v>13.271166666666666</v>
      </c>
      <c r="H1089" s="4">
        <f t="shared" si="78"/>
        <v>14.195566666666666</v>
      </c>
      <c r="I1089" s="8">
        <f t="shared" si="78"/>
        <v>13.15255</v>
      </c>
      <c r="J1089" s="4">
        <f t="shared" si="78"/>
        <v>13.023033333333331</v>
      </c>
      <c r="K1089" s="7"/>
      <c r="L1089" s="5">
        <f t="shared" ref="L1089:Q1089" si="79">SUM(L485:L496)</f>
        <v>355.53689999999995</v>
      </c>
      <c r="M1089" s="5">
        <f t="shared" si="79"/>
        <v>142.0401</v>
      </c>
      <c r="N1089" s="5">
        <f t="shared" si="79"/>
        <v>58.217499999999994</v>
      </c>
      <c r="O1089" s="5">
        <f t="shared" si="79"/>
        <v>4.4046000000000003</v>
      </c>
      <c r="P1089" s="5">
        <f t="shared" si="79"/>
        <v>14.707600000000001</v>
      </c>
      <c r="Q1089" s="5">
        <f t="shared" si="79"/>
        <v>233.30079999999998</v>
      </c>
      <c r="R1089" s="5"/>
      <c r="S1089" s="6"/>
    </row>
    <row r="1090" spans="1:19" ht="15" customHeight="1">
      <c r="A1090" s="3">
        <f t="shared" si="45"/>
        <v>2055</v>
      </c>
      <c r="B1090" s="8">
        <f t="shared" ref="B1090:J1090" si="80">AVERAGE(B497:B508)</f>
        <v>13.905124999999998</v>
      </c>
      <c r="C1090" s="8">
        <f t="shared" si="80"/>
        <v>13.915816666666666</v>
      </c>
      <c r="D1090" s="8">
        <f t="shared" si="80"/>
        <v>13.927341666666665</v>
      </c>
      <c r="E1090" s="8">
        <f t="shared" si="80"/>
        <v>13.922041666666667</v>
      </c>
      <c r="F1090" s="4">
        <f t="shared" si="80"/>
        <v>14.605775000000001</v>
      </c>
      <c r="G1090" s="8">
        <f t="shared" si="80"/>
        <v>13.589791666666668</v>
      </c>
      <c r="H1090" s="4">
        <f t="shared" si="80"/>
        <v>14.514191666666667</v>
      </c>
      <c r="I1090" s="8">
        <f t="shared" si="80"/>
        <v>13.465591666666668</v>
      </c>
      <c r="J1090" s="4">
        <f t="shared" si="80"/>
        <v>13.335908333333331</v>
      </c>
      <c r="K1090" s="7"/>
      <c r="L1090" s="5">
        <f t="shared" ref="L1090:Q1090" si="81">SUM(L497:L508)</f>
        <v>355.53689999999995</v>
      </c>
      <c r="M1090" s="5">
        <f t="shared" si="81"/>
        <v>142.0401</v>
      </c>
      <c r="N1090" s="5">
        <f t="shared" si="81"/>
        <v>58.217499999999994</v>
      </c>
      <c r="O1090" s="5">
        <f t="shared" si="81"/>
        <v>4.4046000000000003</v>
      </c>
      <c r="P1090" s="5">
        <f t="shared" si="81"/>
        <v>14.707600000000001</v>
      </c>
      <c r="Q1090" s="5">
        <f t="shared" si="81"/>
        <v>232.55579999999998</v>
      </c>
      <c r="R1090" s="5"/>
      <c r="S1090" s="6"/>
    </row>
    <row r="1091" spans="1:19" ht="15" customHeight="1">
      <c r="A1091" s="3">
        <f t="shared" si="45"/>
        <v>2056</v>
      </c>
      <c r="B1091" s="8">
        <f t="shared" ref="B1091:J1091" si="82">AVERAGE(B509:B520)</f>
        <v>14.238850000000001</v>
      </c>
      <c r="C1091" s="8">
        <f t="shared" si="82"/>
        <v>14.249541666666666</v>
      </c>
      <c r="D1091" s="8">
        <f t="shared" si="82"/>
        <v>14.261083333333332</v>
      </c>
      <c r="E1091" s="8">
        <f t="shared" si="82"/>
        <v>14.255783333333333</v>
      </c>
      <c r="F1091" s="4">
        <f t="shared" si="82"/>
        <v>14.939508333333331</v>
      </c>
      <c r="G1091" s="8">
        <f t="shared" si="82"/>
        <v>13.916075000000001</v>
      </c>
      <c r="H1091" s="4">
        <f t="shared" si="82"/>
        <v>14.840466666666666</v>
      </c>
      <c r="I1091" s="8">
        <f t="shared" si="82"/>
        <v>13.786183333333334</v>
      </c>
      <c r="J1091" s="4">
        <f t="shared" si="82"/>
        <v>13.656308333333333</v>
      </c>
      <c r="K1091" s="7"/>
      <c r="L1091" s="5">
        <f t="shared" ref="L1091:Q1091" si="83">SUM(L509:L520)</f>
        <v>356.48229999999995</v>
      </c>
      <c r="M1091" s="5">
        <f t="shared" si="83"/>
        <v>142.42920000000001</v>
      </c>
      <c r="N1091" s="5">
        <f t="shared" si="83"/>
        <v>58.377000000000002</v>
      </c>
      <c r="O1091" s="5">
        <f t="shared" si="83"/>
        <v>4.4165999999999999</v>
      </c>
      <c r="P1091" s="5">
        <f t="shared" si="83"/>
        <v>14.7493</v>
      </c>
      <c r="Q1091" s="5">
        <f t="shared" si="83"/>
        <v>232.44659999999996</v>
      </c>
      <c r="R1091" s="5"/>
      <c r="S1091" s="6"/>
    </row>
    <row r="1092" spans="1:19" ht="15" customHeight="1">
      <c r="A1092" s="3">
        <f t="shared" si="45"/>
        <v>2057</v>
      </c>
      <c r="B1092" s="8">
        <f t="shared" ref="B1092:J1092" si="84">AVERAGE(B521:B532)</f>
        <v>14.580591666666665</v>
      </c>
      <c r="C1092" s="8">
        <f t="shared" si="84"/>
        <v>14.591266666666669</v>
      </c>
      <c r="D1092" s="8">
        <f t="shared" si="84"/>
        <v>14.602808333333336</v>
      </c>
      <c r="E1092" s="8">
        <f t="shared" si="84"/>
        <v>14.597500000000002</v>
      </c>
      <c r="F1092" s="4">
        <f t="shared" si="84"/>
        <v>15.281249999999998</v>
      </c>
      <c r="G1092" s="8">
        <f t="shared" si="84"/>
        <v>14.250166666666667</v>
      </c>
      <c r="H1092" s="4">
        <f t="shared" si="84"/>
        <v>15.174591666666666</v>
      </c>
      <c r="I1092" s="8">
        <f t="shared" si="84"/>
        <v>14.114441666666666</v>
      </c>
      <c r="J1092" s="4">
        <f t="shared" si="84"/>
        <v>13.984425</v>
      </c>
      <c r="K1092" s="7"/>
      <c r="L1092" s="5">
        <f t="shared" ref="L1092:Q1092" si="85">SUM(L521:L532)</f>
        <v>355.53689999999995</v>
      </c>
      <c r="M1092" s="5">
        <f t="shared" si="85"/>
        <v>142.0401</v>
      </c>
      <c r="N1092" s="5">
        <f t="shared" si="85"/>
        <v>58.217499999999994</v>
      </c>
      <c r="O1092" s="5">
        <f t="shared" si="85"/>
        <v>4.4046000000000003</v>
      </c>
      <c r="P1092" s="5">
        <f t="shared" si="85"/>
        <v>14.707600000000001</v>
      </c>
      <c r="Q1092" s="5">
        <f t="shared" si="85"/>
        <v>231.81149999999997</v>
      </c>
      <c r="R1092" s="5"/>
      <c r="S1092" s="6"/>
    </row>
    <row r="1093" spans="1:19" ht="15" customHeight="1">
      <c r="A1093" s="3">
        <f t="shared" si="45"/>
        <v>2058</v>
      </c>
      <c r="B1093" s="8">
        <f t="shared" ref="B1093:J1093" si="86">AVERAGE(B533:B544)</f>
        <v>14.930541666666665</v>
      </c>
      <c r="C1093" s="8">
        <f t="shared" si="86"/>
        <v>14.941233333333336</v>
      </c>
      <c r="D1093" s="8">
        <f t="shared" si="86"/>
        <v>14.952775000000001</v>
      </c>
      <c r="E1093" s="8">
        <f t="shared" si="86"/>
        <v>14.947466666666671</v>
      </c>
      <c r="F1093" s="4">
        <f t="shared" si="86"/>
        <v>15.6312</v>
      </c>
      <c r="G1093" s="8">
        <f t="shared" si="86"/>
        <v>14.592325000000001</v>
      </c>
      <c r="H1093" s="4">
        <f t="shared" si="86"/>
        <v>15.516741666666666</v>
      </c>
      <c r="I1093" s="8">
        <f t="shared" si="86"/>
        <v>14.450591666666666</v>
      </c>
      <c r="J1093" s="4">
        <f t="shared" si="86"/>
        <v>14.320408333333335</v>
      </c>
      <c r="K1093" s="7"/>
      <c r="L1093" s="5">
        <f t="shared" ref="L1093:Q1093" si="87">SUM(L533:L544)</f>
        <v>355.53689999999995</v>
      </c>
      <c r="M1093" s="5">
        <f t="shared" si="87"/>
        <v>142.0401</v>
      </c>
      <c r="N1093" s="5">
        <f t="shared" si="87"/>
        <v>58.217499999999994</v>
      </c>
      <c r="O1093" s="5">
        <f t="shared" si="87"/>
        <v>4.4046000000000003</v>
      </c>
      <c r="P1093" s="5">
        <f t="shared" si="87"/>
        <v>14.707600000000001</v>
      </c>
      <c r="Q1093" s="5">
        <f t="shared" si="87"/>
        <v>231.81149999999997</v>
      </c>
      <c r="R1093" s="5"/>
      <c r="S1093" s="6"/>
    </row>
    <row r="1094" spans="1:19" ht="15" customHeight="1">
      <c r="A1094" s="3">
        <f t="shared" si="45"/>
        <v>2059</v>
      </c>
      <c r="B1094" s="8">
        <f t="shared" ref="B1094:J1094" si="88">AVERAGE(B545:B556)</f>
        <v>15.288883333333331</v>
      </c>
      <c r="C1094" s="8">
        <f t="shared" si="88"/>
        <v>15.2996</v>
      </c>
      <c r="D1094" s="8">
        <f t="shared" si="88"/>
        <v>15.311116666666669</v>
      </c>
      <c r="E1094" s="8">
        <f t="shared" si="88"/>
        <v>15.305816666666667</v>
      </c>
      <c r="F1094" s="4">
        <f t="shared" si="88"/>
        <v>15.989566666666667</v>
      </c>
      <c r="G1094" s="8">
        <f t="shared" si="88"/>
        <v>14.942708333333336</v>
      </c>
      <c r="H1094" s="4">
        <f t="shared" si="88"/>
        <v>15.867100000000001</v>
      </c>
      <c r="I1094" s="8">
        <f t="shared" si="88"/>
        <v>14.794825000000001</v>
      </c>
      <c r="J1094" s="4">
        <f t="shared" si="88"/>
        <v>14.664466666666664</v>
      </c>
      <c r="K1094" s="4"/>
      <c r="L1094" s="5">
        <f>SUM(L545:L556)</f>
        <v>355.53689999999995</v>
      </c>
      <c r="M1094" s="5">
        <f>SUM(M545:M556)</f>
        <v>142.0401</v>
      </c>
      <c r="N1094" s="5">
        <f>SUM(N545:N556)</f>
        <v>58.217499999999994</v>
      </c>
      <c r="O1094" s="5">
        <f>SUM(O534:O545)</f>
        <v>4.4046000000000003</v>
      </c>
      <c r="P1094" s="5">
        <f>SUM(P545:P556)</f>
        <v>14.707600000000001</v>
      </c>
      <c r="Q1094" s="5">
        <f>SUM(Q545:Q556)</f>
        <v>231.81149999999997</v>
      </c>
      <c r="R1094" s="5"/>
      <c r="S1094" s="4"/>
    </row>
    <row r="1095" spans="1:19" ht="15" customHeight="1">
      <c r="A1095" s="3">
        <f t="shared" si="45"/>
        <v>2060</v>
      </c>
      <c r="B1095" s="8">
        <f t="shared" ref="B1095:J1095" si="89">AVERAGE(B557:B568)</f>
        <v>15.655858333333333</v>
      </c>
      <c r="C1095" s="8">
        <f t="shared" si="89"/>
        <v>15.666558333333329</v>
      </c>
      <c r="D1095" s="8">
        <f t="shared" si="89"/>
        <v>15.678083333333328</v>
      </c>
      <c r="E1095" s="8">
        <f t="shared" si="89"/>
        <v>15.672783333333333</v>
      </c>
      <c r="F1095" s="4">
        <f t="shared" si="89"/>
        <v>16.356533333333335</v>
      </c>
      <c r="G1095" s="8">
        <f t="shared" si="89"/>
        <v>15.301475000000002</v>
      </c>
      <c r="H1095" s="4">
        <f t="shared" si="89"/>
        <v>16.225900000000003</v>
      </c>
      <c r="I1095" s="8">
        <f t="shared" si="89"/>
        <v>15.147325</v>
      </c>
      <c r="J1095" s="4">
        <f t="shared" si="89"/>
        <v>15.016800000000002</v>
      </c>
      <c r="K1095" s="7"/>
      <c r="L1095" s="5">
        <f>SUM(L557:L568)</f>
        <v>356.48229999999995</v>
      </c>
      <c r="M1095" s="5">
        <f>SUM(M557:M568)</f>
        <v>142.42920000000001</v>
      </c>
      <c r="N1095" s="5">
        <f>SUM(N557:N568)</f>
        <v>58.377000000000002</v>
      </c>
      <c r="O1095" s="5">
        <f>SUM(O535:O546)</f>
        <v>4.4046000000000003</v>
      </c>
      <c r="P1095" s="5">
        <f>SUM(P557:P568)</f>
        <v>14.7493</v>
      </c>
      <c r="Q1095" s="5">
        <f>SUM(Q557:Q568)</f>
        <v>232.44659999999996</v>
      </c>
      <c r="R1095" s="5"/>
      <c r="S1095" s="6"/>
    </row>
    <row r="1096" spans="1:19" ht="15" customHeight="1">
      <c r="A1096" s="3">
        <f t="shared" si="45"/>
        <v>2061</v>
      </c>
      <c r="B1096" s="8">
        <f t="shared" ref="B1096:J1096" si="90">AVERAGE(B569:B580)</f>
        <v>16.031666666666666</v>
      </c>
      <c r="C1096" s="8">
        <f t="shared" si="90"/>
        <v>16.042341666666669</v>
      </c>
      <c r="D1096" s="8">
        <f t="shared" si="90"/>
        <v>16.053900000000002</v>
      </c>
      <c r="E1096" s="8">
        <f t="shared" si="90"/>
        <v>16.048591666666667</v>
      </c>
      <c r="F1096" s="4">
        <f t="shared" si="90"/>
        <v>16.732333333333333</v>
      </c>
      <c r="G1096" s="8">
        <f t="shared" si="90"/>
        <v>15.668883333333333</v>
      </c>
      <c r="H1096" s="4">
        <f t="shared" si="90"/>
        <v>16.593291666666666</v>
      </c>
      <c r="I1096" s="8">
        <f t="shared" si="90"/>
        <v>15.508299999999998</v>
      </c>
      <c r="J1096" s="4">
        <f t="shared" si="90"/>
        <v>15.377591666666667</v>
      </c>
      <c r="K1096" s="7"/>
      <c r="L1096" s="5">
        <f>SUM(L569:L580)</f>
        <v>355.53689999999995</v>
      </c>
      <c r="M1096" s="5">
        <f>SUM(M569:M580)</f>
        <v>142.0401</v>
      </c>
      <c r="N1096" s="5">
        <f>SUM(N569:N580)</f>
        <v>58.217499999999994</v>
      </c>
      <c r="O1096" s="5">
        <f>SUM(O536:O547)</f>
        <v>4.4046000000000003</v>
      </c>
      <c r="P1096" s="5">
        <f>SUM(P569:P580)</f>
        <v>14.707600000000001</v>
      </c>
      <c r="Q1096" s="5">
        <f>SUM(Q569:Q580)</f>
        <v>231.81149999999997</v>
      </c>
      <c r="R1096" s="5"/>
      <c r="S1096" s="6"/>
    </row>
    <row r="1097" spans="1:19" ht="15" customHeight="1">
      <c r="A1097" s="3">
        <f t="shared" si="45"/>
        <v>2062</v>
      </c>
      <c r="B1097" s="4">
        <f t="shared" ref="B1097:J1106" ca="1" si="91">AVERAGE(OFFSET(B$581,($A1097-$A$1097)*12,0,12,1))</f>
        <v>16.416466666666668</v>
      </c>
      <c r="C1097" s="4">
        <f t="shared" ca="1" si="91"/>
        <v>16.427141666666667</v>
      </c>
      <c r="D1097" s="4">
        <f t="shared" ca="1" si="91"/>
        <v>16.438683333333334</v>
      </c>
      <c r="E1097" s="4">
        <f t="shared" ca="1" si="91"/>
        <v>16.433383333333332</v>
      </c>
      <c r="F1097" s="4">
        <f t="shared" ca="1" si="91"/>
        <v>17.117141666666665</v>
      </c>
      <c r="G1097" s="4">
        <f t="shared" ca="1" si="91"/>
        <v>16.045116666666665</v>
      </c>
      <c r="H1097" s="4">
        <f t="shared" ca="1" si="91"/>
        <v>16.969541666666668</v>
      </c>
      <c r="I1097" s="4">
        <f t="shared" ca="1" si="91"/>
        <v>15.877933333333333</v>
      </c>
      <c r="J1097" s="4">
        <f t="shared" ca="1" si="91"/>
        <v>15.74705</v>
      </c>
      <c r="K1097" s="4"/>
      <c r="L1097" s="5">
        <f t="shared" ref="L1097:Q1106" ca="1" si="92">SUM(OFFSET(L$581,($A1097-$A$1097)*12,0,12,1))</f>
        <v>355.53689999999995</v>
      </c>
      <c r="M1097" s="5">
        <f t="shared" ca="1" si="92"/>
        <v>142.0401</v>
      </c>
      <c r="N1097" s="5">
        <f t="shared" ca="1" si="92"/>
        <v>58.217499999999994</v>
      </c>
      <c r="O1097" s="5">
        <f t="shared" ca="1" si="92"/>
        <v>4.4046000000000003</v>
      </c>
      <c r="P1097" s="5">
        <f t="shared" ca="1" si="92"/>
        <v>14.707600000000001</v>
      </c>
      <c r="Q1097" s="5">
        <f t="shared" ca="1" si="92"/>
        <v>231.81149999999997</v>
      </c>
      <c r="R1097" s="4"/>
      <c r="S1097" s="4"/>
    </row>
    <row r="1098" spans="1:19" ht="15" customHeight="1">
      <c r="A1098" s="3">
        <f t="shared" si="45"/>
        <v>2063</v>
      </c>
      <c r="B1098" s="4">
        <f t="shared" ca="1" si="91"/>
        <v>16.810533333333336</v>
      </c>
      <c r="C1098" s="4">
        <f t="shared" ca="1" si="91"/>
        <v>16.821208333333335</v>
      </c>
      <c r="D1098" s="4">
        <f t="shared" ca="1" si="91"/>
        <v>16.832750000000001</v>
      </c>
      <c r="E1098" s="4">
        <f t="shared" ca="1" si="91"/>
        <v>16.827450000000002</v>
      </c>
      <c r="F1098" s="4">
        <f t="shared" ca="1" si="91"/>
        <v>17.511208333333332</v>
      </c>
      <c r="G1098" s="4">
        <f t="shared" ca="1" si="91"/>
        <v>16.430391666666665</v>
      </c>
      <c r="H1098" s="4">
        <f t="shared" ca="1" si="91"/>
        <v>17.354816666666665</v>
      </c>
      <c r="I1098" s="4">
        <f t="shared" ca="1" si="91"/>
        <v>16.256474999999998</v>
      </c>
      <c r="J1098" s="4">
        <f t="shared" ca="1" si="91"/>
        <v>16.125400000000003</v>
      </c>
      <c r="K1098" s="4"/>
      <c r="L1098" s="5">
        <f t="shared" ca="1" si="92"/>
        <v>355.53689999999995</v>
      </c>
      <c r="M1098" s="5">
        <f t="shared" ca="1" si="92"/>
        <v>142.0401</v>
      </c>
      <c r="N1098" s="5">
        <f t="shared" ca="1" si="92"/>
        <v>58.217499999999994</v>
      </c>
      <c r="O1098" s="5">
        <f t="shared" ca="1" si="92"/>
        <v>4.4046000000000003</v>
      </c>
      <c r="P1098" s="5">
        <f t="shared" ca="1" si="92"/>
        <v>14.707600000000001</v>
      </c>
      <c r="Q1098" s="5">
        <f t="shared" ca="1" si="92"/>
        <v>231.81149999999997</v>
      </c>
      <c r="R1098" s="4"/>
      <c r="S1098" s="4"/>
    </row>
    <row r="1099" spans="1:19" ht="15" customHeight="1">
      <c r="A1099" s="3">
        <f t="shared" si="45"/>
        <v>2064</v>
      </c>
      <c r="B1099" s="4">
        <f t="shared" ca="1" si="91"/>
        <v>17.214074999999998</v>
      </c>
      <c r="C1099" s="4">
        <f t="shared" ca="1" si="91"/>
        <v>17.22475833333333</v>
      </c>
      <c r="D1099" s="4">
        <f t="shared" ca="1" si="91"/>
        <v>17.236291666666666</v>
      </c>
      <c r="E1099" s="4">
        <f t="shared" ca="1" si="91"/>
        <v>17.230983333333331</v>
      </c>
      <c r="F1099" s="4">
        <f t="shared" ca="1" si="91"/>
        <v>17.914725000000001</v>
      </c>
      <c r="G1099" s="4">
        <f t="shared" ca="1" si="91"/>
        <v>16.824933333333334</v>
      </c>
      <c r="H1099" s="4">
        <f t="shared" ca="1" si="91"/>
        <v>17.74934166666667</v>
      </c>
      <c r="I1099" s="4">
        <f t="shared" ca="1" si="91"/>
        <v>16.644099999999998</v>
      </c>
      <c r="J1099" s="4">
        <f t="shared" ca="1" si="91"/>
        <v>16.512825000000003</v>
      </c>
      <c r="K1099" s="4"/>
      <c r="L1099" s="5">
        <f t="shared" ca="1" si="92"/>
        <v>356.48229999999995</v>
      </c>
      <c r="M1099" s="5">
        <f t="shared" ca="1" si="92"/>
        <v>142.42920000000001</v>
      </c>
      <c r="N1099" s="5">
        <f t="shared" ca="1" si="92"/>
        <v>58.377000000000002</v>
      </c>
      <c r="O1099" s="5">
        <f t="shared" ca="1" si="92"/>
        <v>4.4165999999999999</v>
      </c>
      <c r="P1099" s="5">
        <f t="shared" ca="1" si="92"/>
        <v>14.7493</v>
      </c>
      <c r="Q1099" s="5">
        <f t="shared" ca="1" si="92"/>
        <v>232.44659999999996</v>
      </c>
      <c r="R1099" s="4"/>
      <c r="S1099" s="4"/>
    </row>
    <row r="1100" spans="1:19" ht="15" customHeight="1">
      <c r="A1100" s="3">
        <f t="shared" si="45"/>
        <v>2065</v>
      </c>
      <c r="B1100" s="4">
        <f t="shared" ca="1" si="91"/>
        <v>17.627283333333335</v>
      </c>
      <c r="C1100" s="4">
        <f t="shared" ca="1" si="91"/>
        <v>17.637975000000001</v>
      </c>
      <c r="D1100" s="4">
        <f t="shared" ca="1" si="91"/>
        <v>17.649508333333333</v>
      </c>
      <c r="E1100" s="4">
        <f t="shared" ca="1" si="91"/>
        <v>17.644200000000001</v>
      </c>
      <c r="F1100" s="4">
        <f t="shared" ca="1" si="91"/>
        <v>18.327949999999998</v>
      </c>
      <c r="G1100" s="4">
        <f t="shared" ca="1" si="91"/>
        <v>17.228941666666667</v>
      </c>
      <c r="H1100" s="4">
        <f t="shared" ca="1" si="91"/>
        <v>18.153358333333333</v>
      </c>
      <c r="I1100" s="4">
        <f t="shared" ca="1" si="91"/>
        <v>17.041016666666668</v>
      </c>
      <c r="J1100" s="4">
        <f t="shared" ca="1" si="91"/>
        <v>16.909558333333333</v>
      </c>
      <c r="K1100" s="4"/>
      <c r="L1100" s="5">
        <f t="shared" ca="1" si="92"/>
        <v>355.53689999999995</v>
      </c>
      <c r="M1100" s="5">
        <f t="shared" ca="1" si="92"/>
        <v>142.0401</v>
      </c>
      <c r="N1100" s="5">
        <f t="shared" ca="1" si="92"/>
        <v>58.217499999999994</v>
      </c>
      <c r="O1100" s="5">
        <f t="shared" ca="1" si="92"/>
        <v>4.4046000000000003</v>
      </c>
      <c r="P1100" s="5">
        <f t="shared" ca="1" si="92"/>
        <v>14.707600000000001</v>
      </c>
      <c r="Q1100" s="5">
        <f t="shared" ca="1" si="92"/>
        <v>231.81149999999997</v>
      </c>
      <c r="R1100" s="4"/>
      <c r="S1100" s="4"/>
    </row>
    <row r="1101" spans="1:19" ht="15" customHeight="1">
      <c r="A1101" s="3">
        <f t="shared" si="45"/>
        <v>2066</v>
      </c>
      <c r="B1101" s="4">
        <f t="shared" ca="1" si="91"/>
        <v>18.050441666666668</v>
      </c>
      <c r="C1101" s="4">
        <f t="shared" ca="1" si="91"/>
        <v>18.061133333333331</v>
      </c>
      <c r="D1101" s="4">
        <f t="shared" ca="1" si="91"/>
        <v>18.072666666666663</v>
      </c>
      <c r="E1101" s="4">
        <f t="shared" ca="1" si="91"/>
        <v>18.067358333333335</v>
      </c>
      <c r="F1101" s="4">
        <f t="shared" ca="1" si="91"/>
        <v>18.751099999999997</v>
      </c>
      <c r="G1101" s="4">
        <f t="shared" ca="1" si="91"/>
        <v>17.642658333333333</v>
      </c>
      <c r="H1101" s="4">
        <f t="shared" ca="1" si="91"/>
        <v>18.567066666666665</v>
      </c>
      <c r="I1101" s="4">
        <f t="shared" ca="1" si="91"/>
        <v>17.447516666666669</v>
      </c>
      <c r="J1101" s="4">
        <f t="shared" ca="1" si="91"/>
        <v>17.315833333333334</v>
      </c>
      <c r="K1101" s="4"/>
      <c r="L1101" s="5">
        <f t="shared" ca="1" si="92"/>
        <v>355.53689999999995</v>
      </c>
      <c r="M1101" s="5">
        <f t="shared" ca="1" si="92"/>
        <v>142.0401</v>
      </c>
      <c r="N1101" s="5">
        <f t="shared" ca="1" si="92"/>
        <v>58.217499999999994</v>
      </c>
      <c r="O1101" s="5">
        <f t="shared" ca="1" si="92"/>
        <v>4.4046000000000003</v>
      </c>
      <c r="P1101" s="5">
        <f t="shared" ca="1" si="92"/>
        <v>14.707600000000001</v>
      </c>
      <c r="Q1101" s="5">
        <f t="shared" ca="1" si="92"/>
        <v>231.81149999999997</v>
      </c>
      <c r="R1101" s="4"/>
      <c r="S1101" s="4"/>
    </row>
    <row r="1102" spans="1:19" ht="15" customHeight="1">
      <c r="A1102" s="3">
        <f t="shared" si="45"/>
        <v>2067</v>
      </c>
      <c r="B1102" s="4">
        <f t="shared" ca="1" si="91"/>
        <v>18.483791666666669</v>
      </c>
      <c r="C1102" s="4">
        <f t="shared" ca="1" si="91"/>
        <v>18.494450000000001</v>
      </c>
      <c r="D1102" s="4">
        <f t="shared" ca="1" si="91"/>
        <v>18.506</v>
      </c>
      <c r="E1102" s="4">
        <f t="shared" ca="1" si="91"/>
        <v>18.500699999999998</v>
      </c>
      <c r="F1102" s="4">
        <f t="shared" ca="1" si="91"/>
        <v>19.184441666666668</v>
      </c>
      <c r="G1102" s="4">
        <f t="shared" ca="1" si="91"/>
        <v>18.066308333333335</v>
      </c>
      <c r="H1102" s="4">
        <f t="shared" ca="1" si="91"/>
        <v>18.990725000000001</v>
      </c>
      <c r="I1102" s="4">
        <f t="shared" ca="1" si="91"/>
        <v>17.86375</v>
      </c>
      <c r="J1102" s="4">
        <f t="shared" ca="1" si="91"/>
        <v>17.731866666666665</v>
      </c>
      <c r="K1102" s="4"/>
      <c r="L1102" s="5">
        <f t="shared" ca="1" si="92"/>
        <v>355.53689999999995</v>
      </c>
      <c r="M1102" s="5">
        <f t="shared" ca="1" si="92"/>
        <v>142.0401</v>
      </c>
      <c r="N1102" s="5">
        <f t="shared" ca="1" si="92"/>
        <v>58.217499999999994</v>
      </c>
      <c r="O1102" s="5">
        <f t="shared" ca="1" si="92"/>
        <v>4.4046000000000003</v>
      </c>
      <c r="P1102" s="5">
        <f t="shared" ca="1" si="92"/>
        <v>14.707600000000001</v>
      </c>
      <c r="Q1102" s="5">
        <f t="shared" ca="1" si="92"/>
        <v>231.81149999999997</v>
      </c>
      <c r="R1102" s="4"/>
      <c r="S1102" s="4"/>
    </row>
    <row r="1103" spans="1:19" ht="15" customHeight="1">
      <c r="A1103" s="3">
        <f t="shared" si="45"/>
        <v>2068</v>
      </c>
      <c r="B1103" s="4">
        <f t="shared" ca="1" si="91"/>
        <v>18.927508333333332</v>
      </c>
      <c r="C1103" s="4">
        <f t="shared" ca="1" si="91"/>
        <v>18.938191666666672</v>
      </c>
      <c r="D1103" s="4">
        <f t="shared" ca="1" si="91"/>
        <v>18.949725000000001</v>
      </c>
      <c r="E1103" s="4">
        <f t="shared" ca="1" si="91"/>
        <v>18.944424999999995</v>
      </c>
      <c r="F1103" s="4">
        <f t="shared" ca="1" si="91"/>
        <v>19.628174999999999</v>
      </c>
      <c r="G1103" s="4">
        <f t="shared" ca="1" si="91"/>
        <v>18.500158333333335</v>
      </c>
      <c r="H1103" s="4">
        <f t="shared" ca="1" si="91"/>
        <v>19.424566666666667</v>
      </c>
      <c r="I1103" s="4">
        <f t="shared" ca="1" si="91"/>
        <v>18.289983333333332</v>
      </c>
      <c r="J1103" s="4">
        <f t="shared" ca="1" si="91"/>
        <v>18.157891666666668</v>
      </c>
      <c r="K1103" s="4"/>
      <c r="L1103" s="5">
        <f t="shared" ca="1" si="92"/>
        <v>356.48229999999995</v>
      </c>
      <c r="M1103" s="5">
        <f t="shared" ca="1" si="92"/>
        <v>142.42920000000001</v>
      </c>
      <c r="N1103" s="5">
        <f t="shared" ca="1" si="92"/>
        <v>58.377000000000002</v>
      </c>
      <c r="O1103" s="5">
        <f t="shared" ca="1" si="92"/>
        <v>4.4165999999999999</v>
      </c>
      <c r="P1103" s="5">
        <f t="shared" ca="1" si="92"/>
        <v>14.7493</v>
      </c>
      <c r="Q1103" s="5">
        <f t="shared" ca="1" si="92"/>
        <v>232.44659999999996</v>
      </c>
      <c r="R1103" s="4"/>
      <c r="S1103" s="4"/>
    </row>
    <row r="1104" spans="1:19" ht="15" customHeight="1">
      <c r="A1104" s="3">
        <f t="shared" si="45"/>
        <v>2069</v>
      </c>
      <c r="B1104" s="4">
        <f t="shared" ca="1" si="91"/>
        <v>19.381899999999998</v>
      </c>
      <c r="C1104" s="4">
        <f t="shared" ca="1" si="91"/>
        <v>19.392583333333334</v>
      </c>
      <c r="D1104" s="4">
        <f t="shared" ca="1" si="91"/>
        <v>19.404116666666663</v>
      </c>
      <c r="E1104" s="4">
        <f t="shared" ca="1" si="91"/>
        <v>19.398816666666665</v>
      </c>
      <c r="F1104" s="4">
        <f t="shared" ca="1" si="91"/>
        <v>20.082558333333335</v>
      </c>
      <c r="G1104" s="4">
        <f t="shared" ca="1" si="91"/>
        <v>18.944416666666665</v>
      </c>
      <c r="H1104" s="4">
        <f t="shared" ca="1" si="91"/>
        <v>19.868824999999998</v>
      </c>
      <c r="I1104" s="4">
        <f t="shared" ca="1" si="91"/>
        <v>18.726483333333331</v>
      </c>
      <c r="J1104" s="4">
        <f t="shared" ca="1" si="91"/>
        <v>18.594158333333333</v>
      </c>
      <c r="K1104" s="4"/>
      <c r="L1104" s="5">
        <f t="shared" ca="1" si="92"/>
        <v>355.53689999999995</v>
      </c>
      <c r="M1104" s="5">
        <f t="shared" ca="1" si="92"/>
        <v>142.0401</v>
      </c>
      <c r="N1104" s="5">
        <f t="shared" ca="1" si="92"/>
        <v>58.217499999999994</v>
      </c>
      <c r="O1104" s="5">
        <f t="shared" ca="1" si="92"/>
        <v>4.4046000000000003</v>
      </c>
      <c r="P1104" s="5">
        <f t="shared" ca="1" si="92"/>
        <v>14.707600000000001</v>
      </c>
      <c r="Q1104" s="5">
        <f t="shared" ca="1" si="92"/>
        <v>231.81149999999997</v>
      </c>
      <c r="R1104" s="4"/>
      <c r="S1104" s="4"/>
    </row>
    <row r="1105" spans="1:19" ht="15" customHeight="1">
      <c r="A1105" s="3">
        <f t="shared" ref="A1105:A1135" si="93">A1104+1</f>
        <v>2070</v>
      </c>
      <c r="B1105" s="4">
        <f t="shared" ca="1" si="91"/>
        <v>19.847216666666665</v>
      </c>
      <c r="C1105" s="4">
        <f t="shared" ca="1" si="91"/>
        <v>19.857900000000001</v>
      </c>
      <c r="D1105" s="4">
        <f t="shared" ca="1" si="91"/>
        <v>19.86943333333333</v>
      </c>
      <c r="E1105" s="4">
        <f t="shared" ca="1" si="91"/>
        <v>19.864124999999994</v>
      </c>
      <c r="F1105" s="4">
        <f t="shared" ca="1" si="91"/>
        <v>20.547874999999998</v>
      </c>
      <c r="G1105" s="4">
        <f t="shared" ca="1" si="91"/>
        <v>19.399366666666666</v>
      </c>
      <c r="H1105" s="4">
        <f t="shared" ca="1" si="91"/>
        <v>20.323774999999998</v>
      </c>
      <c r="I1105" s="4">
        <f t="shared" ca="1" si="91"/>
        <v>19.173450000000003</v>
      </c>
      <c r="J1105" s="4">
        <f t="shared" ca="1" si="91"/>
        <v>19.040908333333331</v>
      </c>
      <c r="K1105" s="4"/>
      <c r="L1105" s="5">
        <f t="shared" ca="1" si="92"/>
        <v>355.53689999999995</v>
      </c>
      <c r="M1105" s="5">
        <f t="shared" ca="1" si="92"/>
        <v>142.0401</v>
      </c>
      <c r="N1105" s="5">
        <f t="shared" ca="1" si="92"/>
        <v>58.217499999999994</v>
      </c>
      <c r="O1105" s="5">
        <f t="shared" ca="1" si="92"/>
        <v>4.4046000000000003</v>
      </c>
      <c r="P1105" s="5">
        <f t="shared" ca="1" si="92"/>
        <v>14.707600000000001</v>
      </c>
      <c r="Q1105" s="5">
        <f t="shared" ca="1" si="92"/>
        <v>231.81149999999997</v>
      </c>
      <c r="R1105" s="4"/>
      <c r="S1105" s="4"/>
    </row>
    <row r="1106" spans="1:19" ht="15" customHeight="1">
      <c r="A1106" s="3">
        <f t="shared" si="93"/>
        <v>2071</v>
      </c>
      <c r="B1106" s="4">
        <f t="shared" ca="1" si="91"/>
        <v>20.323708333333332</v>
      </c>
      <c r="C1106" s="4">
        <f t="shared" ca="1" si="91"/>
        <v>20.334399999999999</v>
      </c>
      <c r="D1106" s="4">
        <f t="shared" ca="1" si="91"/>
        <v>20.345941666666665</v>
      </c>
      <c r="E1106" s="4">
        <f t="shared" ca="1" si="91"/>
        <v>20.340633333333333</v>
      </c>
      <c r="F1106" s="4">
        <f t="shared" ca="1" si="91"/>
        <v>21.024383333333336</v>
      </c>
      <c r="G1106" s="4">
        <f t="shared" ca="1" si="91"/>
        <v>19.865199999999998</v>
      </c>
      <c r="H1106" s="4">
        <f t="shared" ca="1" si="91"/>
        <v>20.789625000000001</v>
      </c>
      <c r="I1106" s="4">
        <f t="shared" ca="1" si="91"/>
        <v>19.631174999999999</v>
      </c>
      <c r="J1106" s="4">
        <f t="shared" ca="1" si="91"/>
        <v>19.4984</v>
      </c>
      <c r="K1106" s="4"/>
      <c r="L1106" s="5">
        <f t="shared" ca="1" si="92"/>
        <v>355.53689999999995</v>
      </c>
      <c r="M1106" s="5">
        <f t="shared" ca="1" si="92"/>
        <v>142.0401</v>
      </c>
      <c r="N1106" s="5">
        <f t="shared" ca="1" si="92"/>
        <v>58.217499999999994</v>
      </c>
      <c r="O1106" s="5">
        <f t="shared" ca="1" si="92"/>
        <v>4.4046000000000003</v>
      </c>
      <c r="P1106" s="5">
        <f t="shared" ca="1" si="92"/>
        <v>14.707600000000001</v>
      </c>
      <c r="Q1106" s="5">
        <f t="shared" ca="1" si="92"/>
        <v>231.81149999999997</v>
      </c>
      <c r="R1106" s="4"/>
      <c r="S1106" s="4"/>
    </row>
    <row r="1107" spans="1:19" ht="15" customHeight="1">
      <c r="A1107" s="3">
        <f t="shared" si="93"/>
        <v>2072</v>
      </c>
      <c r="B1107" s="4">
        <f t="shared" ref="B1107:J1116" ca="1" si="94">AVERAGE(OFFSET(B$581,($A1107-$A$1097)*12,0,12,1))</f>
        <v>20.81165</v>
      </c>
      <c r="C1107" s="4">
        <f t="shared" ca="1" si="94"/>
        <v>20.822341666666663</v>
      </c>
      <c r="D1107" s="4">
        <f t="shared" ca="1" si="94"/>
        <v>20.833858333333335</v>
      </c>
      <c r="E1107" s="4">
        <f t="shared" ca="1" si="94"/>
        <v>20.828558333333337</v>
      </c>
      <c r="F1107" s="4">
        <f t="shared" ca="1" si="94"/>
        <v>21.512308333333333</v>
      </c>
      <c r="G1107" s="4">
        <f t="shared" ca="1" si="94"/>
        <v>20.342258333333334</v>
      </c>
      <c r="H1107" s="4">
        <f t="shared" ca="1" si="94"/>
        <v>21.266691666666667</v>
      </c>
      <c r="I1107" s="4">
        <f t="shared" ca="1" si="94"/>
        <v>20.099866666666671</v>
      </c>
      <c r="J1107" s="4">
        <f t="shared" ca="1" si="94"/>
        <v>19.966866666666665</v>
      </c>
      <c r="K1107" s="4"/>
      <c r="L1107" s="5">
        <f t="shared" ref="L1107:Q1116" ca="1" si="95">SUM(OFFSET(L$581,($A1107-$A$1097)*12,0,12,1))</f>
        <v>356.48229999999995</v>
      </c>
      <c r="M1107" s="5">
        <f t="shared" ca="1" si="95"/>
        <v>142.42920000000001</v>
      </c>
      <c r="N1107" s="5">
        <f t="shared" ca="1" si="95"/>
        <v>58.377000000000002</v>
      </c>
      <c r="O1107" s="5">
        <f t="shared" ca="1" si="95"/>
        <v>4.4165999999999999</v>
      </c>
      <c r="P1107" s="5">
        <f t="shared" ca="1" si="95"/>
        <v>14.7493</v>
      </c>
      <c r="Q1107" s="5">
        <f t="shared" ca="1" si="95"/>
        <v>232.44659999999996</v>
      </c>
      <c r="R1107" s="4"/>
      <c r="S1107" s="4"/>
    </row>
    <row r="1108" spans="1:19" ht="15" customHeight="1">
      <c r="A1108" s="3">
        <f t="shared" si="93"/>
        <v>2073</v>
      </c>
      <c r="B1108" s="4">
        <f t="shared" ca="1" si="94"/>
        <v>21.311325</v>
      </c>
      <c r="C1108" s="4">
        <f t="shared" ca="1" si="94"/>
        <v>21.322008333333333</v>
      </c>
      <c r="D1108" s="4">
        <f t="shared" ca="1" si="94"/>
        <v>21.333541666666665</v>
      </c>
      <c r="E1108" s="4">
        <f t="shared" ca="1" si="94"/>
        <v>21.328241666666667</v>
      </c>
      <c r="F1108" s="4">
        <f t="shared" ca="1" si="94"/>
        <v>22.011983333333333</v>
      </c>
      <c r="G1108" s="4">
        <f t="shared" ca="1" si="94"/>
        <v>20.8308</v>
      </c>
      <c r="H1108" s="4">
        <f t="shared" ca="1" si="94"/>
        <v>21.755224999999999</v>
      </c>
      <c r="I1108" s="4">
        <f t="shared" ca="1" si="94"/>
        <v>20.579833333333337</v>
      </c>
      <c r="J1108" s="4">
        <f t="shared" ca="1" si="94"/>
        <v>20.446591666666666</v>
      </c>
      <c r="K1108" s="4"/>
      <c r="L1108" s="5">
        <f t="shared" ca="1" si="95"/>
        <v>355.53689999999995</v>
      </c>
      <c r="M1108" s="5">
        <f t="shared" ca="1" si="95"/>
        <v>142.0401</v>
      </c>
      <c r="N1108" s="5">
        <f t="shared" ca="1" si="95"/>
        <v>58.217499999999994</v>
      </c>
      <c r="O1108" s="5">
        <f t="shared" ca="1" si="95"/>
        <v>4.4046000000000003</v>
      </c>
      <c r="P1108" s="5">
        <f t="shared" ca="1" si="95"/>
        <v>14.707600000000001</v>
      </c>
      <c r="Q1108" s="5">
        <f t="shared" ca="1" si="95"/>
        <v>231.81149999999997</v>
      </c>
      <c r="R1108" s="4"/>
      <c r="S1108" s="4"/>
    </row>
    <row r="1109" spans="1:19" ht="15" customHeight="1">
      <c r="A1109" s="3">
        <f t="shared" si="93"/>
        <v>2074</v>
      </c>
      <c r="B1109" s="4">
        <f t="shared" ca="1" si="94"/>
        <v>21.823000000000004</v>
      </c>
      <c r="C1109" s="4">
        <f t="shared" ca="1" si="94"/>
        <v>21.833683333333337</v>
      </c>
      <c r="D1109" s="4">
        <f t="shared" ca="1" si="94"/>
        <v>21.845208333333332</v>
      </c>
      <c r="E1109" s="4">
        <f t="shared" ca="1" si="94"/>
        <v>21.8399</v>
      </c>
      <c r="F1109" s="4">
        <f t="shared" ca="1" si="94"/>
        <v>22.52365</v>
      </c>
      <c r="G1109" s="4">
        <f t="shared" ca="1" si="94"/>
        <v>21.331066666666668</v>
      </c>
      <c r="H1109" s="4">
        <f t="shared" ca="1" si="94"/>
        <v>22.255475000000001</v>
      </c>
      <c r="I1109" s="4">
        <f t="shared" ca="1" si="94"/>
        <v>21.071333333333332</v>
      </c>
      <c r="J1109" s="4">
        <f t="shared" ca="1" si="94"/>
        <v>20.937858333333335</v>
      </c>
      <c r="K1109" s="4"/>
      <c r="L1109" s="5">
        <f t="shared" ca="1" si="95"/>
        <v>355.53689999999995</v>
      </c>
      <c r="M1109" s="5">
        <f t="shared" ca="1" si="95"/>
        <v>142.0401</v>
      </c>
      <c r="N1109" s="5">
        <f t="shared" ca="1" si="95"/>
        <v>58.217499999999994</v>
      </c>
      <c r="O1109" s="5">
        <f t="shared" ca="1" si="95"/>
        <v>4.4046000000000003</v>
      </c>
      <c r="P1109" s="5">
        <f t="shared" ca="1" si="95"/>
        <v>14.707600000000001</v>
      </c>
      <c r="Q1109" s="5">
        <f t="shared" ca="1" si="95"/>
        <v>231.81149999999997</v>
      </c>
      <c r="R1109" s="4"/>
      <c r="S1109" s="4"/>
    </row>
    <row r="1110" spans="1:19" ht="15" customHeight="1">
      <c r="A1110" s="3">
        <f t="shared" si="93"/>
        <v>2075</v>
      </c>
      <c r="B1110" s="4">
        <f t="shared" ca="1" si="94"/>
        <v>22.346966666666663</v>
      </c>
      <c r="C1110" s="4">
        <f t="shared" ca="1" si="94"/>
        <v>22.357658333333333</v>
      </c>
      <c r="D1110" s="4">
        <f t="shared" ca="1" si="94"/>
        <v>22.369175000000002</v>
      </c>
      <c r="E1110" s="4">
        <f t="shared" ca="1" si="94"/>
        <v>22.363874999999997</v>
      </c>
      <c r="F1110" s="4">
        <f t="shared" ca="1" si="94"/>
        <v>23.047625</v>
      </c>
      <c r="G1110" s="4">
        <f t="shared" ca="1" si="94"/>
        <v>21.843349999999997</v>
      </c>
      <c r="H1110" s="4">
        <f t="shared" ca="1" si="94"/>
        <v>22.767775</v>
      </c>
      <c r="I1110" s="4">
        <f t="shared" ca="1" si="94"/>
        <v>21.574650000000002</v>
      </c>
      <c r="J1110" s="4">
        <f t="shared" ca="1" si="94"/>
        <v>21.440900000000003</v>
      </c>
      <c r="K1110" s="4"/>
      <c r="L1110" s="5">
        <f t="shared" ca="1" si="95"/>
        <v>355.53689999999995</v>
      </c>
      <c r="M1110" s="5">
        <f t="shared" ca="1" si="95"/>
        <v>142.0401</v>
      </c>
      <c r="N1110" s="5">
        <f t="shared" ca="1" si="95"/>
        <v>58.217499999999994</v>
      </c>
      <c r="O1110" s="5">
        <f t="shared" ca="1" si="95"/>
        <v>4.4046000000000003</v>
      </c>
      <c r="P1110" s="5">
        <f t="shared" ca="1" si="95"/>
        <v>14.707600000000001</v>
      </c>
      <c r="Q1110" s="5">
        <f t="shared" ca="1" si="95"/>
        <v>231.81149999999997</v>
      </c>
      <c r="R1110" s="4"/>
      <c r="S1110" s="4"/>
    </row>
    <row r="1111" spans="1:19" ht="15" customHeight="1">
      <c r="A1111" s="3">
        <f t="shared" si="93"/>
        <v>2076</v>
      </c>
      <c r="B1111" s="4">
        <f t="shared" ca="1" si="94"/>
        <v>22.883525000000002</v>
      </c>
      <c r="C1111" s="4">
        <f t="shared" ca="1" si="94"/>
        <v>22.894199999999998</v>
      </c>
      <c r="D1111" s="4">
        <f t="shared" ca="1" si="94"/>
        <v>22.905733333333334</v>
      </c>
      <c r="E1111" s="4">
        <f t="shared" ca="1" si="94"/>
        <v>22.900433333333336</v>
      </c>
      <c r="F1111" s="4">
        <f t="shared" ca="1" si="94"/>
        <v>23.584183333333332</v>
      </c>
      <c r="G1111" s="4">
        <f t="shared" ca="1" si="94"/>
        <v>22.36793333333333</v>
      </c>
      <c r="H1111" s="4">
        <f t="shared" ca="1" si="94"/>
        <v>23.292349999999999</v>
      </c>
      <c r="I1111" s="4">
        <f t="shared" ca="1" si="94"/>
        <v>22.090074999999999</v>
      </c>
      <c r="J1111" s="4">
        <f t="shared" ca="1" si="94"/>
        <v>21.956058333333331</v>
      </c>
      <c r="K1111" s="4"/>
      <c r="L1111" s="5">
        <f t="shared" ca="1" si="95"/>
        <v>356.48229999999995</v>
      </c>
      <c r="M1111" s="5">
        <f t="shared" ca="1" si="95"/>
        <v>142.42920000000001</v>
      </c>
      <c r="N1111" s="5">
        <f t="shared" ca="1" si="95"/>
        <v>58.377000000000002</v>
      </c>
      <c r="O1111" s="5">
        <f t="shared" ca="1" si="95"/>
        <v>4.4165999999999999</v>
      </c>
      <c r="P1111" s="5">
        <f t="shared" ca="1" si="95"/>
        <v>14.7493</v>
      </c>
      <c r="Q1111" s="5">
        <f t="shared" ca="1" si="95"/>
        <v>232.44659999999996</v>
      </c>
      <c r="R1111" s="4"/>
      <c r="S1111" s="4"/>
    </row>
    <row r="1112" spans="1:19" ht="15" customHeight="1">
      <c r="A1112" s="3">
        <f t="shared" si="93"/>
        <v>2077</v>
      </c>
      <c r="B1112" s="4">
        <f t="shared" ca="1" si="94"/>
        <v>23.432974999999995</v>
      </c>
      <c r="C1112" s="4">
        <f t="shared" ca="1" si="94"/>
        <v>23.443666666666662</v>
      </c>
      <c r="D1112" s="4">
        <f t="shared" ca="1" si="94"/>
        <v>23.455191666666664</v>
      </c>
      <c r="E1112" s="4">
        <f t="shared" ca="1" si="94"/>
        <v>23.449891666666662</v>
      </c>
      <c r="F1112" s="4">
        <f t="shared" ca="1" si="94"/>
        <v>24.133608333333331</v>
      </c>
      <c r="G1112" s="4">
        <f t="shared" ca="1" si="94"/>
        <v>22.905124999999998</v>
      </c>
      <c r="H1112" s="4">
        <f t="shared" ca="1" si="94"/>
        <v>23.829566666666661</v>
      </c>
      <c r="I1112" s="4">
        <f t="shared" ca="1" si="94"/>
        <v>22.617850000000001</v>
      </c>
      <c r="J1112" s="4">
        <f t="shared" ca="1" si="94"/>
        <v>22.483591666666666</v>
      </c>
      <c r="K1112" s="4"/>
      <c r="L1112" s="5">
        <f t="shared" ca="1" si="95"/>
        <v>355.53689999999995</v>
      </c>
      <c r="M1112" s="5">
        <f t="shared" ca="1" si="95"/>
        <v>142.0401</v>
      </c>
      <c r="N1112" s="5">
        <f t="shared" ca="1" si="95"/>
        <v>58.217499999999994</v>
      </c>
      <c r="O1112" s="5">
        <f t="shared" ca="1" si="95"/>
        <v>4.4046000000000003</v>
      </c>
      <c r="P1112" s="5">
        <f t="shared" ca="1" si="95"/>
        <v>14.707600000000001</v>
      </c>
      <c r="Q1112" s="5">
        <f t="shared" ca="1" si="95"/>
        <v>231.81149999999997</v>
      </c>
      <c r="R1112" s="4"/>
      <c r="S1112" s="4"/>
    </row>
    <row r="1113" spans="1:19" ht="15" customHeight="1">
      <c r="A1113" s="3">
        <f t="shared" si="93"/>
        <v>2078</v>
      </c>
      <c r="B1113" s="4">
        <f t="shared" ca="1" si="94"/>
        <v>23.995625</v>
      </c>
      <c r="C1113" s="4">
        <f t="shared" ca="1" si="94"/>
        <v>24.0063</v>
      </c>
      <c r="D1113" s="4">
        <f t="shared" ca="1" si="94"/>
        <v>24.017858333333333</v>
      </c>
      <c r="E1113" s="4">
        <f t="shared" ca="1" si="94"/>
        <v>24.012550000000001</v>
      </c>
      <c r="F1113" s="4">
        <f t="shared" ca="1" si="94"/>
        <v>24.69628333333333</v>
      </c>
      <c r="G1113" s="4">
        <f t="shared" ca="1" si="94"/>
        <v>23.455241666666666</v>
      </c>
      <c r="H1113" s="4">
        <f t="shared" ca="1" si="94"/>
        <v>24.379641666666668</v>
      </c>
      <c r="I1113" s="4">
        <f t="shared" ca="1" si="94"/>
        <v>23.158333333333331</v>
      </c>
      <c r="J1113" s="4">
        <f t="shared" ca="1" si="94"/>
        <v>23.023783333333338</v>
      </c>
      <c r="K1113" s="4"/>
      <c r="L1113" s="5">
        <f t="shared" ca="1" si="95"/>
        <v>355.53689999999995</v>
      </c>
      <c r="M1113" s="5">
        <f t="shared" ca="1" si="95"/>
        <v>142.0401</v>
      </c>
      <c r="N1113" s="5">
        <f t="shared" ca="1" si="95"/>
        <v>58.217499999999994</v>
      </c>
      <c r="O1113" s="5">
        <f t="shared" ca="1" si="95"/>
        <v>4.4046000000000003</v>
      </c>
      <c r="P1113" s="5">
        <f t="shared" ca="1" si="95"/>
        <v>14.707600000000001</v>
      </c>
      <c r="Q1113" s="5">
        <f t="shared" ca="1" si="95"/>
        <v>231.81149999999997</v>
      </c>
      <c r="R1113" s="4"/>
      <c r="S1113" s="4"/>
    </row>
    <row r="1114" spans="1:19" ht="15" customHeight="1">
      <c r="A1114" s="3">
        <f t="shared" si="93"/>
        <v>2079</v>
      </c>
      <c r="B1114" s="4">
        <f t="shared" ca="1" si="94"/>
        <v>24.5718</v>
      </c>
      <c r="C1114" s="4">
        <f t="shared" ca="1" si="94"/>
        <v>24.582475000000006</v>
      </c>
      <c r="D1114" s="4">
        <f t="shared" ca="1" si="94"/>
        <v>24.594000000000005</v>
      </c>
      <c r="E1114" s="4">
        <f t="shared" ca="1" si="94"/>
        <v>24.588691666666666</v>
      </c>
      <c r="F1114" s="4">
        <f t="shared" ca="1" si="94"/>
        <v>25.272449999999996</v>
      </c>
      <c r="G1114" s="4">
        <f t="shared" ca="1" si="94"/>
        <v>24.018566666666668</v>
      </c>
      <c r="H1114" s="4">
        <f t="shared" ca="1" si="94"/>
        <v>24.942975000000008</v>
      </c>
      <c r="I1114" s="4">
        <f t="shared" ca="1" si="94"/>
        <v>23.711783333333329</v>
      </c>
      <c r="J1114" s="4">
        <f t="shared" ca="1" si="94"/>
        <v>23.576975000000004</v>
      </c>
      <c r="K1114" s="4"/>
      <c r="L1114" s="5">
        <f t="shared" ca="1" si="95"/>
        <v>355.53689999999995</v>
      </c>
      <c r="M1114" s="5">
        <f t="shared" ca="1" si="95"/>
        <v>142.0401</v>
      </c>
      <c r="N1114" s="5">
        <f t="shared" ca="1" si="95"/>
        <v>58.217499999999994</v>
      </c>
      <c r="O1114" s="5">
        <f t="shared" ca="1" si="95"/>
        <v>4.4046000000000003</v>
      </c>
      <c r="P1114" s="5">
        <f t="shared" ca="1" si="95"/>
        <v>14.707600000000001</v>
      </c>
      <c r="Q1114" s="5">
        <f t="shared" ca="1" si="95"/>
        <v>231.81149999999997</v>
      </c>
      <c r="R1114" s="4"/>
      <c r="S1114" s="4"/>
    </row>
    <row r="1115" spans="1:19" ht="15" customHeight="1">
      <c r="A1115" s="3">
        <f t="shared" si="93"/>
        <v>2080</v>
      </c>
      <c r="B1115" s="4">
        <f t="shared" ca="1" si="94"/>
        <v>25.161800000000003</v>
      </c>
      <c r="C1115" s="4">
        <f t="shared" ca="1" si="94"/>
        <v>25.172466666666665</v>
      </c>
      <c r="D1115" s="4">
        <f t="shared" ca="1" si="94"/>
        <v>25.184033333333335</v>
      </c>
      <c r="E1115" s="4">
        <f t="shared" ca="1" si="94"/>
        <v>25.178725</v>
      </c>
      <c r="F1115" s="4">
        <f t="shared" ca="1" si="94"/>
        <v>25.862475</v>
      </c>
      <c r="G1115" s="4">
        <f t="shared" ca="1" si="94"/>
        <v>24.595408333333335</v>
      </c>
      <c r="H1115" s="4">
        <f t="shared" ca="1" si="94"/>
        <v>25.519841666666665</v>
      </c>
      <c r="I1115" s="4">
        <f t="shared" ca="1" si="94"/>
        <v>24.278533333333332</v>
      </c>
      <c r="J1115" s="4">
        <f t="shared" ca="1" si="94"/>
        <v>24.143450000000001</v>
      </c>
      <c r="K1115" s="4"/>
      <c r="L1115" s="5">
        <f t="shared" ca="1" si="95"/>
        <v>356.48229999999995</v>
      </c>
      <c r="M1115" s="5">
        <f t="shared" ca="1" si="95"/>
        <v>142.42920000000001</v>
      </c>
      <c r="N1115" s="5">
        <f t="shared" ca="1" si="95"/>
        <v>58.377000000000002</v>
      </c>
      <c r="O1115" s="5">
        <f t="shared" ca="1" si="95"/>
        <v>4.4165999999999999</v>
      </c>
      <c r="P1115" s="5">
        <f t="shared" ca="1" si="95"/>
        <v>14.7493</v>
      </c>
      <c r="Q1115" s="5">
        <f t="shared" ca="1" si="95"/>
        <v>232.44659999999996</v>
      </c>
      <c r="R1115" s="4"/>
      <c r="S1115" s="4"/>
    </row>
    <row r="1116" spans="1:19" ht="15" customHeight="1">
      <c r="A1116" s="3">
        <f t="shared" si="93"/>
        <v>2081</v>
      </c>
      <c r="B1116" s="4">
        <f t="shared" ca="1" si="94"/>
        <v>25.766008333333328</v>
      </c>
      <c r="C1116" s="4">
        <f t="shared" ca="1" si="94"/>
        <v>25.776666666666671</v>
      </c>
      <c r="D1116" s="4">
        <f t="shared" ca="1" si="94"/>
        <v>25.788233333333338</v>
      </c>
      <c r="E1116" s="4">
        <f t="shared" ca="1" si="94"/>
        <v>25.782924999999995</v>
      </c>
      <c r="F1116" s="4">
        <f t="shared" ca="1" si="94"/>
        <v>26.466666666666669</v>
      </c>
      <c r="G1116" s="4">
        <f t="shared" ca="1" si="94"/>
        <v>25.186141666666661</v>
      </c>
      <c r="H1116" s="4">
        <f t="shared" ca="1" si="94"/>
        <v>26.110541666666666</v>
      </c>
      <c r="I1116" s="4">
        <f t="shared" ca="1" si="94"/>
        <v>24.858908333333336</v>
      </c>
      <c r="J1116" s="4">
        <f t="shared" ca="1" si="94"/>
        <v>24.723533333333332</v>
      </c>
      <c r="K1116" s="4"/>
      <c r="L1116" s="5">
        <f t="shared" ca="1" si="95"/>
        <v>355.53689999999995</v>
      </c>
      <c r="M1116" s="5">
        <f t="shared" ca="1" si="95"/>
        <v>142.0401</v>
      </c>
      <c r="N1116" s="5">
        <f t="shared" ca="1" si="95"/>
        <v>58.217499999999994</v>
      </c>
      <c r="O1116" s="5">
        <f t="shared" ca="1" si="95"/>
        <v>4.4046000000000003</v>
      </c>
      <c r="P1116" s="5">
        <f t="shared" ca="1" si="95"/>
        <v>14.707600000000001</v>
      </c>
      <c r="Q1116" s="5">
        <f t="shared" ca="1" si="95"/>
        <v>231.81149999999997</v>
      </c>
      <c r="R1116" s="4"/>
      <c r="S1116" s="4"/>
    </row>
    <row r="1117" spans="1:19" ht="15" customHeight="1">
      <c r="A1117" s="3">
        <f t="shared" si="93"/>
        <v>2082</v>
      </c>
      <c r="B1117" s="4">
        <f t="shared" ref="B1117:J1126" ca="1" si="96">AVERAGE(OFFSET(B$581,($A1117-$A$1097)*12,0,12,1))</f>
        <v>26.384708333333332</v>
      </c>
      <c r="C1117" s="4">
        <f t="shared" ca="1" si="96"/>
        <v>26.395375000000005</v>
      </c>
      <c r="D1117" s="4">
        <f t="shared" ca="1" si="96"/>
        <v>26.406925000000001</v>
      </c>
      <c r="E1117" s="4">
        <f t="shared" ca="1" si="96"/>
        <v>26.401624999999996</v>
      </c>
      <c r="F1117" s="4">
        <f t="shared" ca="1" si="96"/>
        <v>27.085358333333332</v>
      </c>
      <c r="G1117" s="4">
        <f t="shared" ca="1" si="96"/>
        <v>25.791041666666661</v>
      </c>
      <c r="H1117" s="4">
        <f t="shared" ca="1" si="96"/>
        <v>26.715458333333334</v>
      </c>
      <c r="I1117" s="4">
        <f t="shared" ca="1" si="96"/>
        <v>25.453233333333333</v>
      </c>
      <c r="J1117" s="4">
        <f t="shared" ca="1" si="96"/>
        <v>25.317558333333334</v>
      </c>
      <c r="K1117" s="4"/>
      <c r="L1117" s="5">
        <f t="shared" ref="L1117:Q1126" ca="1" si="97">SUM(OFFSET(L$581,($A1117-$A$1097)*12,0,12,1))</f>
        <v>355.53689999999995</v>
      </c>
      <c r="M1117" s="5">
        <f t="shared" ca="1" si="97"/>
        <v>142.0401</v>
      </c>
      <c r="N1117" s="5">
        <f t="shared" ca="1" si="97"/>
        <v>58.217499999999994</v>
      </c>
      <c r="O1117" s="5">
        <f t="shared" ca="1" si="97"/>
        <v>4.4046000000000003</v>
      </c>
      <c r="P1117" s="5">
        <f t="shared" ca="1" si="97"/>
        <v>14.707600000000001</v>
      </c>
      <c r="Q1117" s="5">
        <f t="shared" ca="1" si="97"/>
        <v>231.81149999999997</v>
      </c>
      <c r="R1117" s="4"/>
      <c r="S1117" s="4"/>
    </row>
    <row r="1118" spans="1:19" ht="15" customHeight="1">
      <c r="A1118" s="3">
        <f t="shared" si="93"/>
        <v>2083</v>
      </c>
      <c r="B1118" s="4">
        <f t="shared" ca="1" si="96"/>
        <v>27.0183</v>
      </c>
      <c r="C1118" s="4">
        <f t="shared" ca="1" si="96"/>
        <v>27.028958333333332</v>
      </c>
      <c r="D1118" s="4">
        <f t="shared" ca="1" si="96"/>
        <v>27.040499999999998</v>
      </c>
      <c r="E1118" s="4">
        <f t="shared" ca="1" si="96"/>
        <v>27.035191666666673</v>
      </c>
      <c r="F1118" s="4">
        <f t="shared" ca="1" si="96"/>
        <v>27.718941666666662</v>
      </c>
      <c r="G1118" s="4">
        <f t="shared" ca="1" si="96"/>
        <v>26.410499999999999</v>
      </c>
      <c r="H1118" s="4">
        <f t="shared" ca="1" si="96"/>
        <v>27.334916666666672</v>
      </c>
      <c r="I1118" s="4">
        <f t="shared" ca="1" si="96"/>
        <v>26.061808333333335</v>
      </c>
      <c r="J1118" s="4">
        <f t="shared" ca="1" si="96"/>
        <v>25.925850000000001</v>
      </c>
      <c r="K1118" s="4"/>
      <c r="L1118" s="5">
        <f t="shared" ca="1" si="97"/>
        <v>355.53689999999995</v>
      </c>
      <c r="M1118" s="5">
        <f t="shared" ca="1" si="97"/>
        <v>142.0401</v>
      </c>
      <c r="N1118" s="5">
        <f t="shared" ca="1" si="97"/>
        <v>58.217499999999994</v>
      </c>
      <c r="O1118" s="5">
        <f t="shared" ca="1" si="97"/>
        <v>4.4046000000000003</v>
      </c>
      <c r="P1118" s="5">
        <f t="shared" ca="1" si="97"/>
        <v>14.707600000000001</v>
      </c>
      <c r="Q1118" s="5">
        <f t="shared" ca="1" si="97"/>
        <v>231.81149999999997</v>
      </c>
      <c r="R1118" s="4"/>
      <c r="S1118" s="4"/>
    </row>
    <row r="1119" spans="1:19" ht="15" customHeight="1">
      <c r="A1119" s="3">
        <f t="shared" si="93"/>
        <v>2084</v>
      </c>
      <c r="B1119" s="4">
        <f t="shared" ca="1" si="96"/>
        <v>27.667066666666667</v>
      </c>
      <c r="C1119" s="4">
        <f t="shared" ca="1" si="96"/>
        <v>27.67775</v>
      </c>
      <c r="D1119" s="4">
        <f t="shared" ca="1" si="96"/>
        <v>27.689283333333332</v>
      </c>
      <c r="E1119" s="4">
        <f t="shared" ca="1" si="96"/>
        <v>27.683975</v>
      </c>
      <c r="F1119" s="4">
        <f t="shared" ca="1" si="96"/>
        <v>28.367741666666671</v>
      </c>
      <c r="G1119" s="4">
        <f t="shared" ca="1" si="96"/>
        <v>27.044808333333332</v>
      </c>
      <c r="H1119" s="4">
        <f t="shared" ca="1" si="96"/>
        <v>27.969224999999998</v>
      </c>
      <c r="I1119" s="4">
        <f t="shared" ca="1" si="96"/>
        <v>26.68505833333333</v>
      </c>
      <c r="J1119" s="4">
        <f t="shared" ca="1" si="96"/>
        <v>26.548766666666666</v>
      </c>
      <c r="K1119" s="4"/>
      <c r="L1119" s="5">
        <f t="shared" ca="1" si="97"/>
        <v>356.48229999999995</v>
      </c>
      <c r="M1119" s="5">
        <f t="shared" ca="1" si="97"/>
        <v>142.42920000000001</v>
      </c>
      <c r="N1119" s="5">
        <f t="shared" ca="1" si="97"/>
        <v>58.377000000000002</v>
      </c>
      <c r="O1119" s="5">
        <f t="shared" ca="1" si="97"/>
        <v>4.4165999999999999</v>
      </c>
      <c r="P1119" s="5">
        <f t="shared" ca="1" si="97"/>
        <v>14.7493</v>
      </c>
      <c r="Q1119" s="5">
        <f t="shared" ca="1" si="97"/>
        <v>232.44659999999996</v>
      </c>
      <c r="R1119" s="4"/>
      <c r="S1119" s="4"/>
    </row>
    <row r="1120" spans="1:19" ht="15" customHeight="1">
      <c r="A1120" s="3">
        <f t="shared" si="93"/>
        <v>2085</v>
      </c>
      <c r="B1120" s="4">
        <f t="shared" ca="1" si="96"/>
        <v>28.33145</v>
      </c>
      <c r="C1120" s="4">
        <f t="shared" ca="1" si="96"/>
        <v>28.342141666666663</v>
      </c>
      <c r="D1120" s="4">
        <f t="shared" ca="1" si="96"/>
        <v>28.353674999999996</v>
      </c>
      <c r="E1120" s="4">
        <f t="shared" ca="1" si="96"/>
        <v>28.348375000000004</v>
      </c>
      <c r="F1120" s="4">
        <f t="shared" ca="1" si="96"/>
        <v>29.032133333333334</v>
      </c>
      <c r="G1120" s="4">
        <f t="shared" ca="1" si="96"/>
        <v>27.694383333333334</v>
      </c>
      <c r="H1120" s="4">
        <f t="shared" ca="1" si="96"/>
        <v>28.618799999999997</v>
      </c>
      <c r="I1120" s="4">
        <f t="shared" ca="1" si="96"/>
        <v>27.323249999999998</v>
      </c>
      <c r="J1120" s="4">
        <f t="shared" ca="1" si="96"/>
        <v>27.18665</v>
      </c>
      <c r="K1120" s="4"/>
      <c r="L1120" s="5">
        <f t="shared" ca="1" si="97"/>
        <v>355.53689999999995</v>
      </c>
      <c r="M1120" s="5">
        <f t="shared" ca="1" si="97"/>
        <v>142.0401</v>
      </c>
      <c r="N1120" s="5">
        <f t="shared" ca="1" si="97"/>
        <v>58.217499999999994</v>
      </c>
      <c r="O1120" s="5">
        <f t="shared" ca="1" si="97"/>
        <v>4.4046000000000003</v>
      </c>
      <c r="P1120" s="5">
        <f t="shared" ca="1" si="97"/>
        <v>14.707600000000001</v>
      </c>
      <c r="Q1120" s="5">
        <f t="shared" ca="1" si="97"/>
        <v>231.81149999999997</v>
      </c>
      <c r="R1120" s="4"/>
      <c r="S1120" s="4"/>
    </row>
    <row r="1121" spans="1:19" ht="15" customHeight="1">
      <c r="A1121" s="3">
        <f t="shared" si="93"/>
        <v>2086</v>
      </c>
      <c r="B1121" s="4">
        <f t="shared" ca="1" si="96"/>
        <v>29.011799999999994</v>
      </c>
      <c r="C1121" s="4">
        <f t="shared" ca="1" si="96"/>
        <v>29.022491666666671</v>
      </c>
      <c r="D1121" s="4">
        <f t="shared" ca="1" si="96"/>
        <v>29.034025000000003</v>
      </c>
      <c r="E1121" s="4">
        <f t="shared" ca="1" si="96"/>
        <v>29.028724999999994</v>
      </c>
      <c r="F1121" s="4">
        <f t="shared" ca="1" si="96"/>
        <v>29.712475000000001</v>
      </c>
      <c r="G1121" s="4">
        <f t="shared" ca="1" si="96"/>
        <v>28.359558333333329</v>
      </c>
      <c r="H1121" s="4">
        <f t="shared" ca="1" si="96"/>
        <v>29.283975000000002</v>
      </c>
      <c r="I1121" s="4">
        <f t="shared" ca="1" si="96"/>
        <v>27.976758333333333</v>
      </c>
      <c r="J1121" s="4">
        <f t="shared" ca="1" si="96"/>
        <v>27.839849999999998</v>
      </c>
      <c r="K1121" s="4"/>
      <c r="L1121" s="5">
        <f t="shared" ca="1" si="97"/>
        <v>355.53689999999995</v>
      </c>
      <c r="M1121" s="5">
        <f t="shared" ca="1" si="97"/>
        <v>142.0401</v>
      </c>
      <c r="N1121" s="5">
        <f t="shared" ca="1" si="97"/>
        <v>58.217499999999994</v>
      </c>
      <c r="O1121" s="5">
        <f t="shared" ca="1" si="97"/>
        <v>4.4046000000000003</v>
      </c>
      <c r="P1121" s="5">
        <f t="shared" ca="1" si="97"/>
        <v>14.707600000000001</v>
      </c>
      <c r="Q1121" s="5">
        <f t="shared" ca="1" si="97"/>
        <v>231.81149999999997</v>
      </c>
      <c r="R1121" s="4"/>
      <c r="S1121" s="4"/>
    </row>
    <row r="1122" spans="1:19" ht="15" customHeight="1">
      <c r="A1122" s="3">
        <f t="shared" si="93"/>
        <v>2087</v>
      </c>
      <c r="B1122" s="4">
        <f t="shared" ca="1" si="96"/>
        <v>29.708516666666664</v>
      </c>
      <c r="C1122" s="4">
        <f t="shared" ca="1" si="96"/>
        <v>29.719174999999996</v>
      </c>
      <c r="D1122" s="4">
        <f t="shared" ca="1" si="96"/>
        <v>29.73074166666667</v>
      </c>
      <c r="E1122" s="4">
        <f t="shared" ca="1" si="96"/>
        <v>29.725425000000001</v>
      </c>
      <c r="F1122" s="4">
        <f t="shared" ca="1" si="96"/>
        <v>30.409175000000001</v>
      </c>
      <c r="G1122" s="4">
        <f t="shared" ca="1" si="96"/>
        <v>29.040733333333336</v>
      </c>
      <c r="H1122" s="4">
        <f t="shared" ca="1" si="96"/>
        <v>29.965141666666668</v>
      </c>
      <c r="I1122" s="4">
        <f t="shared" ca="1" si="96"/>
        <v>28.646033333333332</v>
      </c>
      <c r="J1122" s="4">
        <f t="shared" ca="1" si="96"/>
        <v>28.508741666666666</v>
      </c>
      <c r="K1122" s="4"/>
      <c r="L1122" s="5">
        <f t="shared" ca="1" si="97"/>
        <v>355.53689999999995</v>
      </c>
      <c r="M1122" s="5">
        <f t="shared" ca="1" si="97"/>
        <v>142.0401</v>
      </c>
      <c r="N1122" s="5">
        <f t="shared" ca="1" si="97"/>
        <v>58.217499999999994</v>
      </c>
      <c r="O1122" s="5">
        <f t="shared" ca="1" si="97"/>
        <v>4.4046000000000003</v>
      </c>
      <c r="P1122" s="5">
        <f t="shared" ca="1" si="97"/>
        <v>14.707600000000001</v>
      </c>
      <c r="Q1122" s="5">
        <f t="shared" ca="1" si="97"/>
        <v>231.81149999999997</v>
      </c>
      <c r="R1122" s="4"/>
      <c r="S1122" s="4"/>
    </row>
    <row r="1123" spans="1:19" ht="15" customHeight="1">
      <c r="A1123" s="3">
        <f t="shared" si="93"/>
        <v>2088</v>
      </c>
      <c r="B1123" s="4">
        <f t="shared" ca="1" si="96"/>
        <v>30.421949999999999</v>
      </c>
      <c r="C1123" s="4">
        <f t="shared" ca="1" si="96"/>
        <v>30.432616666666664</v>
      </c>
      <c r="D1123" s="4">
        <f t="shared" ca="1" si="96"/>
        <v>30.444158333333331</v>
      </c>
      <c r="E1123" s="4">
        <f t="shared" ca="1" si="96"/>
        <v>30.438849999999999</v>
      </c>
      <c r="F1123" s="4">
        <f t="shared" ca="1" si="96"/>
        <v>31.122599999999995</v>
      </c>
      <c r="G1123" s="4">
        <f t="shared" ca="1" si="96"/>
        <v>29.738250000000004</v>
      </c>
      <c r="H1123" s="4">
        <f t="shared" ca="1" si="96"/>
        <v>30.662649999999999</v>
      </c>
      <c r="I1123" s="4">
        <f t="shared" ca="1" si="96"/>
        <v>29.331325000000003</v>
      </c>
      <c r="J1123" s="4">
        <f t="shared" ca="1" si="96"/>
        <v>29.193708333333333</v>
      </c>
      <c r="K1123" s="4"/>
      <c r="L1123" s="5">
        <f t="shared" ca="1" si="97"/>
        <v>356.48229999999995</v>
      </c>
      <c r="M1123" s="5">
        <f t="shared" ca="1" si="97"/>
        <v>142.42920000000001</v>
      </c>
      <c r="N1123" s="5">
        <f t="shared" ca="1" si="97"/>
        <v>58.377000000000002</v>
      </c>
      <c r="O1123" s="5">
        <f t="shared" ca="1" si="97"/>
        <v>4.4165999999999999</v>
      </c>
      <c r="P1123" s="5">
        <f t="shared" ca="1" si="97"/>
        <v>14.7493</v>
      </c>
      <c r="Q1123" s="5">
        <f t="shared" ca="1" si="97"/>
        <v>232.44659999999996</v>
      </c>
      <c r="R1123" s="4"/>
      <c r="S1123" s="4"/>
    </row>
    <row r="1124" spans="1:19" ht="15" customHeight="1">
      <c r="A1124" s="3">
        <f t="shared" si="93"/>
        <v>2089</v>
      </c>
      <c r="B1124" s="4">
        <f t="shared" ca="1" si="96"/>
        <v>31.15251666666666</v>
      </c>
      <c r="C1124" s="4">
        <f t="shared" ca="1" si="96"/>
        <v>31.163216666666667</v>
      </c>
      <c r="D1124" s="4">
        <f t="shared" ca="1" si="96"/>
        <v>31.174749999999992</v>
      </c>
      <c r="E1124" s="4">
        <f t="shared" ca="1" si="96"/>
        <v>31.169441666666668</v>
      </c>
      <c r="F1124" s="4">
        <f t="shared" ca="1" si="96"/>
        <v>31.853183333333334</v>
      </c>
      <c r="G1124" s="4">
        <f t="shared" ca="1" si="96"/>
        <v>30.452533333333335</v>
      </c>
      <c r="H1124" s="4">
        <f t="shared" ca="1" si="96"/>
        <v>31.376949999999997</v>
      </c>
      <c r="I1124" s="4">
        <f t="shared" ca="1" si="96"/>
        <v>30.033108333333331</v>
      </c>
      <c r="J1124" s="4">
        <f t="shared" ca="1" si="96"/>
        <v>29.895133333333334</v>
      </c>
      <c r="K1124" s="4"/>
      <c r="L1124" s="5">
        <f t="shared" ca="1" si="97"/>
        <v>355.53689999999995</v>
      </c>
      <c r="M1124" s="5">
        <f t="shared" ca="1" si="97"/>
        <v>142.0401</v>
      </c>
      <c r="N1124" s="5">
        <f t="shared" ca="1" si="97"/>
        <v>58.217499999999994</v>
      </c>
      <c r="O1124" s="5">
        <f t="shared" ca="1" si="97"/>
        <v>4.4046000000000003</v>
      </c>
      <c r="P1124" s="5">
        <f t="shared" ca="1" si="97"/>
        <v>14.707600000000001</v>
      </c>
      <c r="Q1124" s="5">
        <f t="shared" ca="1" si="97"/>
        <v>231.81149999999997</v>
      </c>
      <c r="R1124" s="4"/>
      <c r="S1124" s="4"/>
    </row>
    <row r="1125" spans="1:19" ht="15" customHeight="1">
      <c r="A1125" s="3">
        <f t="shared" si="93"/>
        <v>2090</v>
      </c>
      <c r="B1125" s="4">
        <f t="shared" ca="1" si="96"/>
        <v>31.900649999999999</v>
      </c>
      <c r="C1125" s="4">
        <f t="shared" ca="1" si="96"/>
        <v>31.911341666666669</v>
      </c>
      <c r="D1125" s="4">
        <f t="shared" ca="1" si="96"/>
        <v>31.922891666666668</v>
      </c>
      <c r="E1125" s="4">
        <f t="shared" ca="1" si="96"/>
        <v>31.917583333333329</v>
      </c>
      <c r="F1125" s="4">
        <f t="shared" ca="1" si="96"/>
        <v>32.601316666666669</v>
      </c>
      <c r="G1125" s="4">
        <f t="shared" ca="1" si="96"/>
        <v>31.183991666666667</v>
      </c>
      <c r="H1125" s="4">
        <f t="shared" ca="1" si="96"/>
        <v>32.108391666666662</v>
      </c>
      <c r="I1125" s="4">
        <f t="shared" ca="1" si="96"/>
        <v>30.751749999999998</v>
      </c>
      <c r="J1125" s="4">
        <f t="shared" ca="1" si="96"/>
        <v>30.613424999999996</v>
      </c>
      <c r="K1125" s="4"/>
      <c r="L1125" s="5">
        <f t="shared" ca="1" si="97"/>
        <v>355.53689999999995</v>
      </c>
      <c r="M1125" s="5">
        <f t="shared" ca="1" si="97"/>
        <v>142.0401</v>
      </c>
      <c r="N1125" s="5">
        <f t="shared" ca="1" si="97"/>
        <v>58.217499999999994</v>
      </c>
      <c r="O1125" s="5">
        <f t="shared" ca="1" si="97"/>
        <v>4.4046000000000003</v>
      </c>
      <c r="P1125" s="5">
        <f t="shared" ca="1" si="97"/>
        <v>14.707600000000001</v>
      </c>
      <c r="Q1125" s="5">
        <f t="shared" ca="1" si="97"/>
        <v>231.81149999999997</v>
      </c>
      <c r="R1125" s="4"/>
      <c r="S1125" s="4"/>
    </row>
    <row r="1126" spans="1:19" ht="15" customHeight="1">
      <c r="A1126" s="3">
        <f t="shared" si="93"/>
        <v>2091</v>
      </c>
      <c r="B1126" s="4">
        <f t="shared" ca="1" si="96"/>
        <v>32.666758333333327</v>
      </c>
      <c r="C1126" s="4">
        <f t="shared" ca="1" si="96"/>
        <v>32.677441666666667</v>
      </c>
      <c r="D1126" s="4">
        <f t="shared" ca="1" si="96"/>
        <v>32.688974999999999</v>
      </c>
      <c r="E1126" s="4">
        <f t="shared" ca="1" si="96"/>
        <v>32.68366666666666</v>
      </c>
      <c r="F1126" s="4">
        <f t="shared" ca="1" si="96"/>
        <v>33.367424999999997</v>
      </c>
      <c r="G1126" s="4">
        <f t="shared" ca="1" si="96"/>
        <v>31.933016666666663</v>
      </c>
      <c r="H1126" s="4">
        <f t="shared" ca="1" si="96"/>
        <v>32.857408333333332</v>
      </c>
      <c r="I1126" s="4">
        <f t="shared" ca="1" si="96"/>
        <v>31.487641666666665</v>
      </c>
      <c r="J1126" s="4">
        <f t="shared" ca="1" si="96"/>
        <v>31.348950000000002</v>
      </c>
      <c r="K1126" s="4"/>
      <c r="L1126" s="5">
        <f t="shared" ca="1" si="97"/>
        <v>355.53689999999995</v>
      </c>
      <c r="M1126" s="5">
        <f t="shared" ca="1" si="97"/>
        <v>142.0401</v>
      </c>
      <c r="N1126" s="5">
        <f t="shared" ca="1" si="97"/>
        <v>58.217499999999994</v>
      </c>
      <c r="O1126" s="5">
        <f t="shared" ca="1" si="97"/>
        <v>4.4046000000000003</v>
      </c>
      <c r="P1126" s="5">
        <f t="shared" ca="1" si="97"/>
        <v>14.707600000000001</v>
      </c>
      <c r="Q1126" s="5">
        <f t="shared" ca="1" si="97"/>
        <v>231.81149999999997</v>
      </c>
      <c r="R1126" s="4"/>
      <c r="S1126" s="4"/>
    </row>
    <row r="1127" spans="1:19" ht="15" customHeight="1">
      <c r="A1127" s="3">
        <f t="shared" si="93"/>
        <v>2092</v>
      </c>
      <c r="B1127" s="4">
        <f t="shared" ref="B1127:J1135" ca="1" si="98">AVERAGE(OFFSET(B$581,($A1127-$A$1097)*12,0,12,1))</f>
        <v>33.451266666666669</v>
      </c>
      <c r="C1127" s="4">
        <f t="shared" ca="1" si="98"/>
        <v>33.461983333333329</v>
      </c>
      <c r="D1127" s="4">
        <f t="shared" ca="1" si="98"/>
        <v>33.473500000000001</v>
      </c>
      <c r="E1127" s="4">
        <f t="shared" ca="1" si="98"/>
        <v>33.468200000000003</v>
      </c>
      <c r="F1127" s="4">
        <f t="shared" ca="1" si="98"/>
        <v>34.151941666666666</v>
      </c>
      <c r="G1127" s="4">
        <f t="shared" ca="1" si="98"/>
        <v>32.70003333333333</v>
      </c>
      <c r="H1127" s="4">
        <f t="shared" ca="1" si="98"/>
        <v>33.624433333333336</v>
      </c>
      <c r="I1127" s="4">
        <f t="shared" ca="1" si="98"/>
        <v>32.241233333333334</v>
      </c>
      <c r="J1127" s="4">
        <f t="shared" ca="1" si="98"/>
        <v>32.102166666666669</v>
      </c>
      <c r="K1127" s="4"/>
      <c r="L1127" s="5">
        <f t="shared" ref="L1127:Q1135" ca="1" si="99">SUM(OFFSET(L$581,($A1127-$A$1097)*12,0,12,1))</f>
        <v>356.48229999999995</v>
      </c>
      <c r="M1127" s="5">
        <f t="shared" ca="1" si="99"/>
        <v>142.42920000000001</v>
      </c>
      <c r="N1127" s="5">
        <f t="shared" ca="1" si="99"/>
        <v>58.377000000000002</v>
      </c>
      <c r="O1127" s="5">
        <f t="shared" ca="1" si="99"/>
        <v>4.4165999999999999</v>
      </c>
      <c r="P1127" s="5">
        <f t="shared" ca="1" si="99"/>
        <v>14.7493</v>
      </c>
      <c r="Q1127" s="5">
        <f t="shared" ca="1" si="99"/>
        <v>232.44659999999996</v>
      </c>
      <c r="R1127" s="4"/>
      <c r="S1127" s="4"/>
    </row>
    <row r="1128" spans="1:19" ht="15" customHeight="1">
      <c r="A1128" s="3">
        <f t="shared" si="93"/>
        <v>2093</v>
      </c>
      <c r="B1128" s="4">
        <f t="shared" ca="1" si="98"/>
        <v>34.254649999999998</v>
      </c>
      <c r="C1128" s="4">
        <f t="shared" ca="1" si="98"/>
        <v>34.265333333333338</v>
      </c>
      <c r="D1128" s="4">
        <f t="shared" ca="1" si="98"/>
        <v>34.27686666666667</v>
      </c>
      <c r="E1128" s="4">
        <f t="shared" ca="1" si="98"/>
        <v>34.271566666666665</v>
      </c>
      <c r="F1128" s="4">
        <f t="shared" ca="1" si="98"/>
        <v>34.955299999999987</v>
      </c>
      <c r="G1128" s="4">
        <f t="shared" ca="1" si="98"/>
        <v>33.485475000000001</v>
      </c>
      <c r="H1128" s="4">
        <f t="shared" ca="1" si="98"/>
        <v>34.409875000000007</v>
      </c>
      <c r="I1128" s="4">
        <f t="shared" ca="1" si="98"/>
        <v>33.012949999999996</v>
      </c>
      <c r="J1128" s="4">
        <f t="shared" ca="1" si="98"/>
        <v>32.873483333333333</v>
      </c>
      <c r="K1128" s="4"/>
      <c r="L1128" s="5">
        <f t="shared" ca="1" si="99"/>
        <v>355.53689999999995</v>
      </c>
      <c r="M1128" s="5">
        <f t="shared" ca="1" si="99"/>
        <v>142.0401</v>
      </c>
      <c r="N1128" s="5">
        <f t="shared" ca="1" si="99"/>
        <v>58.217499999999994</v>
      </c>
      <c r="O1128" s="5">
        <f t="shared" ca="1" si="99"/>
        <v>4.4046000000000003</v>
      </c>
      <c r="P1128" s="5">
        <f t="shared" ca="1" si="99"/>
        <v>14.707600000000001</v>
      </c>
      <c r="Q1128" s="5">
        <f t="shared" ca="1" si="99"/>
        <v>231.81149999999997</v>
      </c>
      <c r="R1128" s="4"/>
      <c r="S1128" s="4"/>
    </row>
    <row r="1129" spans="1:19" ht="15" customHeight="1">
      <c r="A1129" s="3">
        <f t="shared" si="93"/>
        <v>2094</v>
      </c>
      <c r="B1129" s="4">
        <f t="shared" ca="1" si="98"/>
        <v>35.077308333333335</v>
      </c>
      <c r="C1129" s="4">
        <f t="shared" ca="1" si="98"/>
        <v>35.088000000000001</v>
      </c>
      <c r="D1129" s="4">
        <f t="shared" ca="1" si="98"/>
        <v>35.099533333333333</v>
      </c>
      <c r="E1129" s="4">
        <f t="shared" ca="1" si="98"/>
        <v>35.094233333333335</v>
      </c>
      <c r="F1129" s="4">
        <f t="shared" ca="1" si="98"/>
        <v>35.777966666666664</v>
      </c>
      <c r="G1129" s="4">
        <f t="shared" ca="1" si="98"/>
        <v>34.289799999999993</v>
      </c>
      <c r="H1129" s="4">
        <f t="shared" ca="1" si="98"/>
        <v>35.214199999999998</v>
      </c>
      <c r="I1129" s="4">
        <f t="shared" ca="1" si="98"/>
        <v>33.803166666666662</v>
      </c>
      <c r="J1129" s="4">
        <f t="shared" ca="1" si="98"/>
        <v>33.663325</v>
      </c>
      <c r="K1129" s="4"/>
      <c r="L1129" s="5">
        <f t="shared" ca="1" si="99"/>
        <v>355.53689999999995</v>
      </c>
      <c r="M1129" s="5">
        <f t="shared" ca="1" si="99"/>
        <v>142.0401</v>
      </c>
      <c r="N1129" s="5">
        <f t="shared" ca="1" si="99"/>
        <v>58.217499999999994</v>
      </c>
      <c r="O1129" s="5">
        <f t="shared" ca="1" si="99"/>
        <v>4.4046000000000003</v>
      </c>
      <c r="P1129" s="5">
        <f t="shared" ca="1" si="99"/>
        <v>14.707600000000001</v>
      </c>
      <c r="Q1129" s="5">
        <f t="shared" ca="1" si="99"/>
        <v>231.81149999999997</v>
      </c>
      <c r="R1129" s="4"/>
      <c r="S1129" s="4"/>
    </row>
    <row r="1130" spans="1:19" ht="15" customHeight="1">
      <c r="A1130" s="3">
        <f t="shared" si="93"/>
        <v>2095</v>
      </c>
      <c r="B1130" s="4">
        <f t="shared" ca="1" si="98"/>
        <v>35.919750000000001</v>
      </c>
      <c r="C1130" s="4">
        <f t="shared" ca="1" si="98"/>
        <v>35.930416666666666</v>
      </c>
      <c r="D1130" s="4">
        <f t="shared" ca="1" si="98"/>
        <v>35.941974999999992</v>
      </c>
      <c r="E1130" s="4">
        <f t="shared" ca="1" si="98"/>
        <v>35.936666666666675</v>
      </c>
      <c r="F1130" s="4">
        <f t="shared" ca="1" si="98"/>
        <v>36.620416666666671</v>
      </c>
      <c r="G1130" s="4">
        <f t="shared" ca="1" si="98"/>
        <v>35.11343333333334</v>
      </c>
      <c r="H1130" s="4">
        <f t="shared" ca="1" si="98"/>
        <v>36.037849999999999</v>
      </c>
      <c r="I1130" s="4">
        <f t="shared" ca="1" si="98"/>
        <v>34.61239166666666</v>
      </c>
      <c r="J1130" s="4">
        <f t="shared" ca="1" si="98"/>
        <v>34.472149999999999</v>
      </c>
      <c r="K1130" s="4"/>
      <c r="L1130" s="5">
        <f t="shared" ca="1" si="99"/>
        <v>355.53689999999995</v>
      </c>
      <c r="M1130" s="5">
        <f t="shared" ca="1" si="99"/>
        <v>142.0401</v>
      </c>
      <c r="N1130" s="5">
        <f t="shared" ca="1" si="99"/>
        <v>58.217499999999994</v>
      </c>
      <c r="O1130" s="5">
        <f t="shared" ca="1" si="99"/>
        <v>4.4046000000000003</v>
      </c>
      <c r="P1130" s="5">
        <f t="shared" ca="1" si="99"/>
        <v>14.707600000000001</v>
      </c>
      <c r="Q1130" s="5">
        <f t="shared" ca="1" si="99"/>
        <v>231.81149999999997</v>
      </c>
      <c r="R1130" s="4"/>
      <c r="S1130" s="4"/>
    </row>
    <row r="1131" spans="1:19" ht="15" customHeight="1">
      <c r="A1131" s="3">
        <f t="shared" si="93"/>
        <v>2096</v>
      </c>
      <c r="B1131" s="4">
        <f t="shared" ca="1" si="98"/>
        <v>36.782424999999996</v>
      </c>
      <c r="C1131" s="4">
        <f t="shared" ca="1" si="98"/>
        <v>36.793100000000003</v>
      </c>
      <c r="D1131" s="4">
        <f t="shared" ca="1" si="98"/>
        <v>36.804641666666662</v>
      </c>
      <c r="E1131" s="4">
        <f t="shared" ca="1" si="98"/>
        <v>36.799341666666663</v>
      </c>
      <c r="F1131" s="4">
        <f t="shared" ca="1" si="98"/>
        <v>37.483066666666666</v>
      </c>
      <c r="G1131" s="4">
        <f t="shared" ca="1" si="98"/>
        <v>35.95688333333333</v>
      </c>
      <c r="H1131" s="4">
        <f t="shared" ca="1" si="98"/>
        <v>36.881300000000003</v>
      </c>
      <c r="I1131" s="4">
        <f t="shared" ca="1" si="98"/>
        <v>35.441083333333331</v>
      </c>
      <c r="J1131" s="4">
        <f t="shared" ca="1" si="98"/>
        <v>35.300400000000003</v>
      </c>
      <c r="K1131" s="4"/>
      <c r="L1131" s="5">
        <f t="shared" ca="1" si="99"/>
        <v>356.48229999999995</v>
      </c>
      <c r="M1131" s="5">
        <f t="shared" ca="1" si="99"/>
        <v>142.42920000000001</v>
      </c>
      <c r="N1131" s="5">
        <f t="shared" ca="1" si="99"/>
        <v>58.377000000000002</v>
      </c>
      <c r="O1131" s="5">
        <f t="shared" ca="1" si="99"/>
        <v>4.4165999999999999</v>
      </c>
      <c r="P1131" s="5">
        <f t="shared" ca="1" si="99"/>
        <v>14.7493</v>
      </c>
      <c r="Q1131" s="5">
        <f t="shared" ca="1" si="99"/>
        <v>232.44659999999996</v>
      </c>
      <c r="R1131" s="4"/>
      <c r="S1131" s="4"/>
    </row>
    <row r="1132" spans="1:19" ht="15" customHeight="1">
      <c r="A1132" s="3">
        <f t="shared" si="93"/>
        <v>2097</v>
      </c>
      <c r="B1132" s="4">
        <f t="shared" ca="1" si="98"/>
        <v>37.665841666666658</v>
      </c>
      <c r="C1132" s="4">
        <f t="shared" ca="1" si="98"/>
        <v>37.676499999999997</v>
      </c>
      <c r="D1132" s="4">
        <f t="shared" ca="1" si="98"/>
        <v>37.688049999999997</v>
      </c>
      <c r="E1132" s="4">
        <f t="shared" ca="1" si="98"/>
        <v>37.682749999999999</v>
      </c>
      <c r="F1132" s="4">
        <f t="shared" ca="1" si="98"/>
        <v>38.366491666666668</v>
      </c>
      <c r="G1132" s="4">
        <f t="shared" ca="1" si="98"/>
        <v>36.820599999999999</v>
      </c>
      <c r="H1132" s="4">
        <f t="shared" ca="1" si="98"/>
        <v>37.744975000000004</v>
      </c>
      <c r="I1132" s="4">
        <f t="shared" ca="1" si="98"/>
        <v>36.289641666666661</v>
      </c>
      <c r="J1132" s="4">
        <f t="shared" ca="1" si="98"/>
        <v>36.148575000000001</v>
      </c>
      <c r="K1132" s="4"/>
      <c r="L1132" s="5">
        <f t="shared" ca="1" si="99"/>
        <v>355.53689999999995</v>
      </c>
      <c r="M1132" s="5">
        <f t="shared" ca="1" si="99"/>
        <v>142.0401</v>
      </c>
      <c r="N1132" s="5">
        <f t="shared" ca="1" si="99"/>
        <v>58.217499999999994</v>
      </c>
      <c r="O1132" s="5">
        <f t="shared" ca="1" si="99"/>
        <v>4.4046000000000003</v>
      </c>
      <c r="P1132" s="5">
        <f t="shared" ca="1" si="99"/>
        <v>14.707600000000001</v>
      </c>
      <c r="Q1132" s="5">
        <f t="shared" ca="1" si="99"/>
        <v>231.81149999999997</v>
      </c>
      <c r="R1132" s="4"/>
      <c r="S1132" s="4"/>
    </row>
    <row r="1133" spans="1:19" ht="15" customHeight="1">
      <c r="A1133" s="3">
        <f t="shared" si="93"/>
        <v>2098</v>
      </c>
      <c r="B1133" s="4">
        <f t="shared" ca="1" si="98"/>
        <v>38.570458333333335</v>
      </c>
      <c r="C1133" s="4">
        <f t="shared" ca="1" si="98"/>
        <v>38.581150000000001</v>
      </c>
      <c r="D1133" s="4">
        <f t="shared" ca="1" si="98"/>
        <v>38.592683333333341</v>
      </c>
      <c r="E1133" s="4">
        <f t="shared" ca="1" si="98"/>
        <v>38.587375000000002</v>
      </c>
      <c r="F1133" s="4">
        <f t="shared" ca="1" si="98"/>
        <v>39.271124999999991</v>
      </c>
      <c r="G1133" s="4">
        <f t="shared" ca="1" si="98"/>
        <v>37.705041666666666</v>
      </c>
      <c r="H1133" s="4">
        <f t="shared" ca="1" si="98"/>
        <v>38.629450000000006</v>
      </c>
      <c r="I1133" s="4">
        <f t="shared" ca="1" si="98"/>
        <v>37.158625000000001</v>
      </c>
      <c r="J1133" s="4">
        <f t="shared" ca="1" si="98"/>
        <v>37.017091666666666</v>
      </c>
      <c r="K1133" s="4"/>
      <c r="L1133" s="5">
        <f t="shared" ca="1" si="99"/>
        <v>355.53689999999995</v>
      </c>
      <c r="M1133" s="5">
        <f t="shared" ca="1" si="99"/>
        <v>142.0401</v>
      </c>
      <c r="N1133" s="5">
        <f t="shared" ca="1" si="99"/>
        <v>58.217499999999994</v>
      </c>
      <c r="O1133" s="5">
        <f t="shared" ca="1" si="99"/>
        <v>4.4046000000000003</v>
      </c>
      <c r="P1133" s="5">
        <f t="shared" ca="1" si="99"/>
        <v>14.707600000000001</v>
      </c>
      <c r="Q1133" s="5">
        <f t="shared" ca="1" si="99"/>
        <v>231.81149999999997</v>
      </c>
      <c r="R1133" s="4"/>
      <c r="S1133" s="4"/>
    </row>
    <row r="1134" spans="1:19" ht="15" customHeight="1">
      <c r="A1134" s="3">
        <f t="shared" si="93"/>
        <v>2099</v>
      </c>
      <c r="B1134" s="4">
        <f t="shared" ca="1" si="98"/>
        <v>39.496825000000001</v>
      </c>
      <c r="C1134" s="4">
        <f t="shared" ca="1" si="98"/>
        <v>39.507516666666668</v>
      </c>
      <c r="D1134" s="4">
        <f t="shared" ca="1" si="98"/>
        <v>39.51905</v>
      </c>
      <c r="E1134" s="4">
        <f t="shared" ca="1" si="98"/>
        <v>39.513749999999995</v>
      </c>
      <c r="F1134" s="4">
        <f t="shared" ca="1" si="98"/>
        <v>40.197475000000004</v>
      </c>
      <c r="G1134" s="4">
        <f t="shared" ca="1" si="98"/>
        <v>38.610741666666662</v>
      </c>
      <c r="H1134" s="4">
        <f t="shared" ca="1" si="98"/>
        <v>39.535158333333328</v>
      </c>
      <c r="I1134" s="4">
        <f t="shared" ca="1" si="98"/>
        <v>38.048491666666663</v>
      </c>
      <c r="J1134" s="4">
        <f t="shared" ca="1" si="98"/>
        <v>37.906500000000001</v>
      </c>
      <c r="K1134" s="4"/>
      <c r="L1134" s="5">
        <f t="shared" ca="1" si="99"/>
        <v>355.53689999999995</v>
      </c>
      <c r="M1134" s="5">
        <f t="shared" ca="1" si="99"/>
        <v>142.0401</v>
      </c>
      <c r="N1134" s="5">
        <f t="shared" ca="1" si="99"/>
        <v>58.217499999999994</v>
      </c>
      <c r="O1134" s="5">
        <f t="shared" ca="1" si="99"/>
        <v>4.4046000000000003</v>
      </c>
      <c r="P1134" s="5">
        <f t="shared" ca="1" si="99"/>
        <v>14.707600000000001</v>
      </c>
      <c r="Q1134" s="5">
        <f t="shared" ca="1" si="99"/>
        <v>231.81149999999997</v>
      </c>
      <c r="R1134" s="4"/>
      <c r="S1134" s="4"/>
    </row>
    <row r="1135" spans="1:19" ht="15" customHeight="1">
      <c r="A1135" s="3">
        <f t="shared" si="93"/>
        <v>2100</v>
      </c>
      <c r="B1135" s="4">
        <f t="shared" ca="1" si="98"/>
        <v>40.445458333333328</v>
      </c>
      <c r="C1135" s="4">
        <f t="shared" ca="1" si="98"/>
        <v>40.456116666666674</v>
      </c>
      <c r="D1135" s="4">
        <f t="shared" ca="1" si="98"/>
        <v>40.467675</v>
      </c>
      <c r="E1135" s="4">
        <f t="shared" ca="1" si="98"/>
        <v>40.462366666666661</v>
      </c>
      <c r="F1135" s="4">
        <f t="shared" ca="1" si="98"/>
        <v>41.146108333333331</v>
      </c>
      <c r="G1135" s="4">
        <f t="shared" ca="1" si="98"/>
        <v>39.53820833333333</v>
      </c>
      <c r="H1135" s="4">
        <f t="shared" ca="1" si="98"/>
        <v>40.46262500000001</v>
      </c>
      <c r="I1135" s="4">
        <f t="shared" ca="1" si="98"/>
        <v>38.959724999999999</v>
      </c>
      <c r="J1135" s="4">
        <f t="shared" ca="1" si="98"/>
        <v>38.817275000000002</v>
      </c>
      <c r="K1135" s="4"/>
      <c r="L1135" s="5">
        <f t="shared" ca="1" si="99"/>
        <v>355.53689999999995</v>
      </c>
      <c r="M1135" s="5">
        <f t="shared" ca="1" si="99"/>
        <v>142.0401</v>
      </c>
      <c r="N1135" s="5">
        <f t="shared" ca="1" si="99"/>
        <v>58.217499999999994</v>
      </c>
      <c r="O1135" s="5">
        <f t="shared" ca="1" si="99"/>
        <v>4.4046000000000003</v>
      </c>
      <c r="P1135" s="5">
        <f t="shared" ca="1" si="99"/>
        <v>14.707600000000001</v>
      </c>
      <c r="Q1135" s="5">
        <f t="shared" ca="1" si="99"/>
        <v>231.81149999999997</v>
      </c>
      <c r="R1135" s="4"/>
      <c r="S1135" s="4"/>
    </row>
    <row r="1136" spans="1:19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</sheetData>
  <mergeCells count="2">
    <mergeCell ref="L13:S13"/>
    <mergeCell ref="L14:S14"/>
  </mergeCells>
  <pageMargins left="0.25" right="0.25" top="0.5" bottom="0.5" header="0.25" footer="0.25"/>
  <pageSetup paperSize="119" scale="90" orientation="landscape" horizontalDpi="1200" verticalDpi="1200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11</xdr:row>
                    <xdr:rowOff>142875</xdr:rowOff>
                  </from>
                  <to>
                    <xdr:col>4</xdr:col>
                    <xdr:colOff>533400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533400</xdr:colOff>
                    <xdr:row>11</xdr:row>
                    <xdr:rowOff>142875</xdr:rowOff>
                  </from>
                  <to>
                    <xdr:col>6</xdr:col>
                    <xdr:colOff>257175</xdr:colOff>
                    <xdr:row>13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T1155"/>
  <sheetViews>
    <sheetView zoomScale="70" zoomScaleNormal="70" workbookViewId="0">
      <pane xSplit="1" ySplit="16" topLeftCell="B17" activePane="bottomRight" state="frozen"/>
      <selection activeCell="A7" sqref="A7"/>
      <selection pane="topRight" activeCell="A7" sqref="A7"/>
      <selection pane="bottomLeft" activeCell="A7" sqref="A7"/>
      <selection pane="bottomRight" activeCell="B17" sqref="B17"/>
    </sheetView>
  </sheetViews>
  <sheetFormatPr defaultColWidth="7.109375" defaultRowHeight="12.75"/>
  <cols>
    <col min="1" max="1" width="7.5546875" style="33" bestFit="1" customWidth="1"/>
    <col min="2" max="2" width="7.88671875" style="33" customWidth="1"/>
    <col min="3" max="7" width="11.33203125" style="32" customWidth="1"/>
    <col min="8" max="8" width="12.77734375" style="32" bestFit="1" customWidth="1"/>
    <col min="9" max="9" width="13.21875" style="32" customWidth="1"/>
    <col min="10" max="10" width="12.77734375" style="32" customWidth="1"/>
    <col min="11" max="11" width="7.77734375" style="32" customWidth="1"/>
    <col min="12" max="16384" width="7.109375" style="32"/>
  </cols>
  <sheetData>
    <row r="1" spans="1:10" ht="15.75">
      <c r="A1" s="84" t="s">
        <v>64</v>
      </c>
    </row>
    <row r="2" spans="1:10" ht="15.75">
      <c r="A2" s="84" t="s">
        <v>65</v>
      </c>
    </row>
    <row r="3" spans="1:10" ht="15.75">
      <c r="A3" s="84" t="s">
        <v>66</v>
      </c>
    </row>
    <row r="4" spans="1:10" ht="15.75">
      <c r="A4" s="84" t="s">
        <v>67</v>
      </c>
    </row>
    <row r="5" spans="1:10" ht="15.75">
      <c r="A5" s="84" t="s">
        <v>69</v>
      </c>
    </row>
    <row r="6" spans="1:10" ht="15.75">
      <c r="A6" s="84" t="s">
        <v>73</v>
      </c>
    </row>
    <row r="8" spans="1:10" ht="20.25">
      <c r="A8" s="31" t="s">
        <v>35</v>
      </c>
    </row>
    <row r="9" spans="1:10" ht="15.75">
      <c r="A9" s="30" t="s">
        <v>25</v>
      </c>
    </row>
    <row r="11" spans="1:10">
      <c r="A11" s="32"/>
    </row>
    <row r="12" spans="1:10" ht="15.75">
      <c r="A12" s="32"/>
      <c r="B12" s="30"/>
      <c r="C12" s="53"/>
      <c r="I12" s="24"/>
    </row>
    <row r="13" spans="1:10" ht="15.75">
      <c r="A13" s="30"/>
      <c r="B13" s="30"/>
      <c r="C13" s="53"/>
      <c r="I13" s="24"/>
    </row>
    <row r="14" spans="1:10" ht="15.75">
      <c r="A14" s="30"/>
      <c r="C14" s="86" t="s">
        <v>34</v>
      </c>
      <c r="D14" s="86"/>
      <c r="E14" s="86"/>
      <c r="F14" s="52"/>
      <c r="G14" s="51"/>
      <c r="H14" s="50"/>
      <c r="I14" s="49"/>
    </row>
    <row r="15" spans="1:10" ht="97.9" customHeight="1">
      <c r="A15" s="18"/>
      <c r="B15" s="18"/>
      <c r="C15" s="21" t="s">
        <v>20</v>
      </c>
      <c r="D15" s="48" t="s">
        <v>19</v>
      </c>
      <c r="E15" s="21" t="s">
        <v>33</v>
      </c>
      <c r="F15" s="21" t="s">
        <v>32</v>
      </c>
      <c r="G15" s="21" t="s">
        <v>16</v>
      </c>
      <c r="H15" s="47" t="s">
        <v>31</v>
      </c>
      <c r="I15" s="21" t="s">
        <v>30</v>
      </c>
      <c r="J15" s="21" t="s">
        <v>29</v>
      </c>
    </row>
    <row r="16" spans="1:10" ht="15.75">
      <c r="A16" s="20" t="s">
        <v>2</v>
      </c>
      <c r="B16" s="20" t="s">
        <v>28</v>
      </c>
      <c r="C16" s="20" t="s">
        <v>27</v>
      </c>
      <c r="D16" s="20" t="s">
        <v>27</v>
      </c>
      <c r="E16" s="20" t="s">
        <v>27</v>
      </c>
      <c r="F16" s="20" t="s">
        <v>27</v>
      </c>
      <c r="G16" s="20" t="s">
        <v>27</v>
      </c>
      <c r="H16" s="46" t="s">
        <v>27</v>
      </c>
      <c r="I16" s="20" t="s">
        <v>27</v>
      </c>
      <c r="J16" s="20" t="s">
        <v>27</v>
      </c>
    </row>
    <row r="17" spans="1:20" ht="15.75">
      <c r="A17" s="13">
        <v>42005</v>
      </c>
      <c r="B17" s="44">
        <v>31</v>
      </c>
      <c r="C17" s="35">
        <v>122.58</v>
      </c>
      <c r="D17" s="35">
        <v>297.94099999999997</v>
      </c>
      <c r="E17" s="41">
        <v>729.47900000000004</v>
      </c>
      <c r="F17" s="35">
        <v>1150</v>
      </c>
      <c r="G17" s="35">
        <v>100</v>
      </c>
      <c r="H17" s="43"/>
      <c r="I17" s="35">
        <v>695</v>
      </c>
      <c r="J17" s="35">
        <v>50</v>
      </c>
      <c r="K17" s="36"/>
      <c r="L17" s="45"/>
      <c r="M17" s="36"/>
      <c r="N17" s="36"/>
      <c r="O17" s="36"/>
      <c r="P17" s="36"/>
      <c r="Q17" s="36"/>
      <c r="R17" s="36"/>
      <c r="S17" s="36"/>
      <c r="T17" s="36"/>
    </row>
    <row r="18" spans="1:20" ht="15.75">
      <c r="A18" s="13">
        <v>42036</v>
      </c>
      <c r="B18" s="44">
        <v>28</v>
      </c>
      <c r="C18" s="35">
        <v>122.58</v>
      </c>
      <c r="D18" s="35">
        <v>297.94099999999997</v>
      </c>
      <c r="E18" s="41">
        <v>729.47900000000004</v>
      </c>
      <c r="F18" s="35">
        <v>1150</v>
      </c>
      <c r="G18" s="35">
        <v>100</v>
      </c>
      <c r="H18" s="43"/>
      <c r="I18" s="35">
        <v>695</v>
      </c>
      <c r="J18" s="35">
        <v>50</v>
      </c>
      <c r="K18" s="36"/>
      <c r="L18" s="45"/>
      <c r="M18" s="36"/>
      <c r="N18" s="36"/>
      <c r="O18" s="36"/>
      <c r="P18" s="36"/>
      <c r="Q18" s="36"/>
      <c r="R18" s="36"/>
      <c r="S18" s="36"/>
      <c r="T18" s="36"/>
    </row>
    <row r="19" spans="1:20" ht="15.75">
      <c r="A19" s="13">
        <v>42064</v>
      </c>
      <c r="B19" s="44">
        <v>31</v>
      </c>
      <c r="C19" s="35">
        <v>122.58</v>
      </c>
      <c r="D19" s="35">
        <v>297.94099999999997</v>
      </c>
      <c r="E19" s="41">
        <v>729.47900000000004</v>
      </c>
      <c r="F19" s="35">
        <v>1150</v>
      </c>
      <c r="G19" s="35">
        <v>100</v>
      </c>
      <c r="H19" s="43"/>
      <c r="I19" s="35">
        <v>695</v>
      </c>
      <c r="J19" s="35">
        <v>50</v>
      </c>
      <c r="K19" s="36"/>
      <c r="L19" s="45"/>
      <c r="M19" s="36"/>
      <c r="N19" s="36"/>
      <c r="O19" s="36"/>
      <c r="P19" s="36"/>
      <c r="Q19" s="36"/>
      <c r="R19" s="36"/>
      <c r="S19" s="36"/>
      <c r="T19" s="36"/>
    </row>
    <row r="20" spans="1:20" ht="15.75">
      <c r="A20" s="13">
        <v>42095</v>
      </c>
      <c r="B20" s="44">
        <v>30</v>
      </c>
      <c r="C20" s="35">
        <v>141.29300000000001</v>
      </c>
      <c r="D20" s="35">
        <v>267.99299999999999</v>
      </c>
      <c r="E20" s="41">
        <v>829.71400000000006</v>
      </c>
      <c r="F20" s="35">
        <v>1239</v>
      </c>
      <c r="G20" s="35">
        <v>100</v>
      </c>
      <c r="H20" s="43"/>
      <c r="I20" s="35">
        <v>695</v>
      </c>
      <c r="J20" s="35">
        <v>50</v>
      </c>
      <c r="K20" s="36"/>
      <c r="L20" s="45"/>
      <c r="M20" s="36"/>
      <c r="N20" s="36"/>
      <c r="O20" s="36"/>
      <c r="P20" s="36"/>
      <c r="Q20" s="36"/>
      <c r="R20" s="36"/>
      <c r="S20" s="36"/>
      <c r="T20" s="36"/>
    </row>
    <row r="21" spans="1:20" ht="15.75">
      <c r="A21" s="13">
        <v>42125</v>
      </c>
      <c r="B21" s="44">
        <v>31</v>
      </c>
      <c r="C21" s="35">
        <v>194.20500000000001</v>
      </c>
      <c r="D21" s="35">
        <v>267.46600000000001</v>
      </c>
      <c r="E21" s="41">
        <v>912.32899999999995</v>
      </c>
      <c r="F21" s="35">
        <v>1374</v>
      </c>
      <c r="G21" s="35">
        <v>75</v>
      </c>
      <c r="H21" s="43"/>
      <c r="I21" s="35">
        <v>695</v>
      </c>
      <c r="J21" s="35">
        <v>50</v>
      </c>
      <c r="K21" s="36"/>
      <c r="L21" s="45"/>
      <c r="M21" s="36"/>
      <c r="N21" s="36"/>
      <c r="O21" s="36"/>
      <c r="P21" s="36"/>
      <c r="Q21" s="36"/>
      <c r="R21" s="36"/>
      <c r="S21" s="36"/>
      <c r="T21" s="36"/>
    </row>
    <row r="22" spans="1:20" ht="15.75">
      <c r="A22" s="13">
        <v>42156</v>
      </c>
      <c r="B22" s="44">
        <v>30</v>
      </c>
      <c r="C22" s="35">
        <v>194.20500000000001</v>
      </c>
      <c r="D22" s="35">
        <v>267.46600000000001</v>
      </c>
      <c r="E22" s="41">
        <v>912.32899999999995</v>
      </c>
      <c r="F22" s="35">
        <v>1374</v>
      </c>
      <c r="G22" s="35">
        <v>50</v>
      </c>
      <c r="H22" s="43"/>
      <c r="I22" s="35">
        <v>695</v>
      </c>
      <c r="J22" s="35">
        <v>50</v>
      </c>
      <c r="K22" s="36"/>
      <c r="L22" s="45"/>
      <c r="M22" s="36"/>
      <c r="N22" s="36"/>
      <c r="O22" s="36"/>
      <c r="P22" s="36"/>
      <c r="Q22" s="36"/>
      <c r="R22" s="36"/>
      <c r="S22" s="36"/>
      <c r="T22" s="36"/>
    </row>
    <row r="23" spans="1:20" ht="15.75">
      <c r="A23" s="13">
        <v>42186</v>
      </c>
      <c r="B23" s="44">
        <v>31</v>
      </c>
      <c r="C23" s="35">
        <v>194.20500000000001</v>
      </c>
      <c r="D23" s="35">
        <v>267.46600000000001</v>
      </c>
      <c r="E23" s="41">
        <v>912.32899999999995</v>
      </c>
      <c r="F23" s="35">
        <v>1374</v>
      </c>
      <c r="G23" s="35">
        <v>50</v>
      </c>
      <c r="H23" s="43"/>
      <c r="I23" s="35">
        <v>695</v>
      </c>
      <c r="J23" s="35">
        <v>0</v>
      </c>
      <c r="K23" s="36"/>
      <c r="L23" s="45"/>
      <c r="M23" s="36"/>
      <c r="N23" s="36"/>
      <c r="O23" s="36"/>
      <c r="P23" s="36"/>
      <c r="Q23" s="36"/>
      <c r="R23" s="36"/>
      <c r="S23" s="36"/>
      <c r="T23" s="36"/>
    </row>
    <row r="24" spans="1:20" ht="15.75">
      <c r="A24" s="13">
        <v>42217</v>
      </c>
      <c r="B24" s="44">
        <v>31</v>
      </c>
      <c r="C24" s="35">
        <v>194.20500000000001</v>
      </c>
      <c r="D24" s="35">
        <v>267.46600000000001</v>
      </c>
      <c r="E24" s="41">
        <v>912.32899999999995</v>
      </c>
      <c r="F24" s="35">
        <v>1374</v>
      </c>
      <c r="G24" s="35">
        <v>50</v>
      </c>
      <c r="H24" s="43"/>
      <c r="I24" s="35">
        <v>695</v>
      </c>
      <c r="J24" s="35">
        <v>0</v>
      </c>
      <c r="K24" s="36"/>
      <c r="L24" s="45"/>
      <c r="M24" s="36"/>
      <c r="N24" s="36"/>
      <c r="O24" s="36"/>
      <c r="P24" s="36"/>
      <c r="Q24" s="36"/>
      <c r="R24" s="36"/>
      <c r="S24" s="36"/>
      <c r="T24" s="36"/>
    </row>
    <row r="25" spans="1:20" ht="15.75">
      <c r="A25" s="13">
        <v>42248</v>
      </c>
      <c r="B25" s="44">
        <v>30</v>
      </c>
      <c r="C25" s="35">
        <v>194.20500000000001</v>
      </c>
      <c r="D25" s="35">
        <v>267.46600000000001</v>
      </c>
      <c r="E25" s="41">
        <v>912.32899999999995</v>
      </c>
      <c r="F25" s="35">
        <v>1374</v>
      </c>
      <c r="G25" s="35">
        <v>50</v>
      </c>
      <c r="H25" s="43"/>
      <c r="I25" s="35">
        <v>695</v>
      </c>
      <c r="J25" s="35">
        <v>0</v>
      </c>
      <c r="K25" s="36"/>
      <c r="L25" s="45"/>
      <c r="M25" s="36"/>
      <c r="N25" s="36"/>
      <c r="O25" s="36"/>
      <c r="P25" s="36"/>
      <c r="Q25" s="36"/>
      <c r="R25" s="36"/>
      <c r="S25" s="36"/>
      <c r="T25" s="36"/>
    </row>
    <row r="26" spans="1:20" ht="15.75">
      <c r="A26" s="13">
        <v>42278</v>
      </c>
      <c r="B26" s="44">
        <v>31</v>
      </c>
      <c r="C26" s="35">
        <v>131.881</v>
      </c>
      <c r="D26" s="35">
        <v>277.16699999999997</v>
      </c>
      <c r="E26" s="41">
        <v>829.952</v>
      </c>
      <c r="F26" s="35">
        <v>1239</v>
      </c>
      <c r="G26" s="35">
        <v>75</v>
      </c>
      <c r="H26" s="43"/>
      <c r="I26" s="35">
        <v>695</v>
      </c>
      <c r="J26" s="35">
        <v>0</v>
      </c>
      <c r="K26" s="36"/>
      <c r="L26" s="45"/>
      <c r="M26" s="36"/>
      <c r="N26" s="36"/>
      <c r="O26" s="36"/>
      <c r="P26" s="36"/>
      <c r="Q26" s="36"/>
      <c r="R26" s="36"/>
      <c r="S26" s="36"/>
      <c r="T26" s="36"/>
    </row>
    <row r="27" spans="1:20" ht="15.75">
      <c r="A27" s="13">
        <v>42309</v>
      </c>
      <c r="B27" s="44">
        <v>30</v>
      </c>
      <c r="C27" s="35">
        <v>122.58</v>
      </c>
      <c r="D27" s="35">
        <v>297.94099999999997</v>
      </c>
      <c r="E27" s="41">
        <v>729.47900000000004</v>
      </c>
      <c r="F27" s="35">
        <v>1150</v>
      </c>
      <c r="G27" s="35">
        <v>100</v>
      </c>
      <c r="H27" s="43"/>
      <c r="I27" s="35">
        <v>695</v>
      </c>
      <c r="J27" s="35">
        <v>50</v>
      </c>
      <c r="K27" s="36"/>
      <c r="L27" s="45"/>
      <c r="M27" s="36"/>
      <c r="N27" s="36"/>
      <c r="O27" s="36"/>
      <c r="P27" s="36"/>
      <c r="Q27" s="36"/>
      <c r="R27" s="36"/>
      <c r="S27" s="36"/>
      <c r="T27" s="36"/>
    </row>
    <row r="28" spans="1:20" ht="15.75">
      <c r="A28" s="13">
        <v>42339</v>
      </c>
      <c r="B28" s="44">
        <v>31</v>
      </c>
      <c r="C28" s="35">
        <v>122.58</v>
      </c>
      <c r="D28" s="35">
        <v>297.94099999999997</v>
      </c>
      <c r="E28" s="41">
        <v>729.47900000000004</v>
      </c>
      <c r="F28" s="35">
        <v>1150</v>
      </c>
      <c r="G28" s="35">
        <v>100</v>
      </c>
      <c r="H28" s="43"/>
      <c r="I28" s="35">
        <v>695</v>
      </c>
      <c r="J28" s="35">
        <v>50</v>
      </c>
      <c r="K28" s="36"/>
      <c r="L28" s="45"/>
      <c r="M28" s="36"/>
      <c r="N28" s="36"/>
      <c r="O28" s="36"/>
      <c r="P28" s="36"/>
      <c r="Q28" s="36"/>
      <c r="R28" s="36"/>
      <c r="S28" s="36"/>
      <c r="T28" s="36"/>
    </row>
    <row r="29" spans="1:20" ht="15.75">
      <c r="A29" s="13">
        <v>42370</v>
      </c>
      <c r="B29" s="44">
        <v>31</v>
      </c>
      <c r="C29" s="35">
        <v>122.58</v>
      </c>
      <c r="D29" s="35">
        <v>297.94099999999997</v>
      </c>
      <c r="E29" s="41">
        <v>729.47900000000004</v>
      </c>
      <c r="F29" s="35">
        <v>1150</v>
      </c>
      <c r="G29" s="35">
        <v>100</v>
      </c>
      <c r="H29" s="43"/>
      <c r="I29" s="35">
        <v>695</v>
      </c>
      <c r="J29" s="35">
        <v>50</v>
      </c>
      <c r="K29" s="36"/>
      <c r="L29" s="45"/>
      <c r="M29" s="36"/>
      <c r="N29" s="36"/>
      <c r="O29" s="36"/>
      <c r="P29" s="36"/>
      <c r="Q29" s="36"/>
      <c r="R29" s="36"/>
      <c r="S29" s="36"/>
      <c r="T29" s="36"/>
    </row>
    <row r="30" spans="1:20" ht="15.75">
      <c r="A30" s="13">
        <v>42401</v>
      </c>
      <c r="B30" s="44">
        <v>29</v>
      </c>
      <c r="C30" s="35">
        <v>122.58</v>
      </c>
      <c r="D30" s="35">
        <v>297.94099999999997</v>
      </c>
      <c r="E30" s="41">
        <v>729.47900000000004</v>
      </c>
      <c r="F30" s="35">
        <v>1150</v>
      </c>
      <c r="G30" s="35">
        <v>100</v>
      </c>
      <c r="H30" s="43"/>
      <c r="I30" s="35">
        <v>695</v>
      </c>
      <c r="J30" s="35">
        <v>50</v>
      </c>
      <c r="K30" s="36"/>
      <c r="L30" s="45"/>
      <c r="M30" s="36"/>
      <c r="N30" s="36"/>
      <c r="O30" s="36"/>
      <c r="P30" s="36"/>
      <c r="Q30" s="36"/>
      <c r="R30" s="36"/>
      <c r="S30" s="36"/>
      <c r="T30" s="36"/>
    </row>
    <row r="31" spans="1:20" ht="15.75">
      <c r="A31" s="13">
        <v>42430</v>
      </c>
      <c r="B31" s="44">
        <v>31</v>
      </c>
      <c r="C31" s="35">
        <v>122.58</v>
      </c>
      <c r="D31" s="35">
        <v>297.94099999999997</v>
      </c>
      <c r="E31" s="41">
        <v>729.47900000000004</v>
      </c>
      <c r="F31" s="35">
        <v>1150</v>
      </c>
      <c r="G31" s="35">
        <v>100</v>
      </c>
      <c r="H31" s="43"/>
      <c r="I31" s="35">
        <v>695</v>
      </c>
      <c r="J31" s="35">
        <v>50</v>
      </c>
      <c r="K31" s="36"/>
      <c r="L31" s="45"/>
      <c r="M31" s="36"/>
      <c r="N31" s="36"/>
      <c r="O31" s="36"/>
      <c r="P31" s="36"/>
      <c r="Q31" s="36"/>
      <c r="R31" s="36"/>
      <c r="S31" s="36"/>
      <c r="T31" s="36"/>
    </row>
    <row r="32" spans="1:20" ht="15.75">
      <c r="A32" s="13">
        <v>42461</v>
      </c>
      <c r="B32" s="44">
        <v>30</v>
      </c>
      <c r="C32" s="35">
        <v>141.29300000000001</v>
      </c>
      <c r="D32" s="35">
        <v>267.99299999999999</v>
      </c>
      <c r="E32" s="41">
        <v>829.71400000000006</v>
      </c>
      <c r="F32" s="35">
        <v>1239</v>
      </c>
      <c r="G32" s="35">
        <v>100</v>
      </c>
      <c r="H32" s="43"/>
      <c r="I32" s="35">
        <v>695</v>
      </c>
      <c r="J32" s="35">
        <v>50</v>
      </c>
      <c r="K32" s="36"/>
      <c r="L32" s="45"/>
      <c r="M32" s="36"/>
      <c r="N32" s="36"/>
      <c r="O32" s="36"/>
      <c r="P32" s="36"/>
      <c r="Q32" s="36"/>
      <c r="R32" s="36"/>
      <c r="S32" s="36"/>
      <c r="T32" s="36"/>
    </row>
    <row r="33" spans="1:20" ht="15.75">
      <c r="A33" s="13">
        <v>42491</v>
      </c>
      <c r="B33" s="44">
        <v>31</v>
      </c>
      <c r="C33" s="35">
        <v>194.20500000000001</v>
      </c>
      <c r="D33" s="35">
        <v>267.46600000000001</v>
      </c>
      <c r="E33" s="41">
        <v>912.32899999999995</v>
      </c>
      <c r="F33" s="35">
        <v>1374</v>
      </c>
      <c r="G33" s="35">
        <v>75</v>
      </c>
      <c r="H33" s="43"/>
      <c r="I33" s="35">
        <v>695</v>
      </c>
      <c r="J33" s="35">
        <v>50</v>
      </c>
      <c r="K33" s="36"/>
      <c r="L33" s="45"/>
      <c r="M33" s="36"/>
      <c r="N33" s="36"/>
      <c r="O33" s="36"/>
      <c r="P33" s="36"/>
      <c r="Q33" s="36"/>
      <c r="R33" s="36"/>
      <c r="S33" s="36"/>
      <c r="T33" s="36"/>
    </row>
    <row r="34" spans="1:20" ht="15.75">
      <c r="A34" s="13">
        <v>42522</v>
      </c>
      <c r="B34" s="44">
        <v>30</v>
      </c>
      <c r="C34" s="35">
        <v>194.20500000000001</v>
      </c>
      <c r="D34" s="35">
        <v>267.46600000000001</v>
      </c>
      <c r="E34" s="41">
        <v>912.32899999999995</v>
      </c>
      <c r="F34" s="35">
        <v>1374</v>
      </c>
      <c r="G34" s="35">
        <v>50</v>
      </c>
      <c r="H34" s="43"/>
      <c r="I34" s="35">
        <v>695</v>
      </c>
      <c r="J34" s="35">
        <v>50</v>
      </c>
      <c r="K34" s="36"/>
      <c r="L34" s="45"/>
      <c r="M34" s="36"/>
      <c r="N34" s="36"/>
      <c r="O34" s="36"/>
      <c r="P34" s="36"/>
      <c r="Q34" s="36"/>
      <c r="R34" s="36"/>
      <c r="S34" s="36"/>
      <c r="T34" s="36"/>
    </row>
    <row r="35" spans="1:20" ht="15.75">
      <c r="A35" s="13">
        <v>42552</v>
      </c>
      <c r="B35" s="44">
        <v>31</v>
      </c>
      <c r="C35" s="35">
        <v>194.20500000000001</v>
      </c>
      <c r="D35" s="35">
        <v>267.46600000000001</v>
      </c>
      <c r="E35" s="41">
        <v>912.32899999999995</v>
      </c>
      <c r="F35" s="35">
        <v>1374</v>
      </c>
      <c r="G35" s="35">
        <v>50</v>
      </c>
      <c r="H35" s="43"/>
      <c r="I35" s="35">
        <v>695</v>
      </c>
      <c r="J35" s="35">
        <v>0</v>
      </c>
      <c r="K35" s="36"/>
      <c r="L35" s="45"/>
      <c r="M35" s="36"/>
      <c r="N35" s="36"/>
      <c r="O35" s="36"/>
      <c r="P35" s="36"/>
      <c r="Q35" s="36"/>
      <c r="R35" s="36"/>
      <c r="S35" s="36"/>
      <c r="T35" s="36"/>
    </row>
    <row r="36" spans="1:20" ht="15.75">
      <c r="A36" s="13">
        <v>42583</v>
      </c>
      <c r="B36" s="44">
        <v>31</v>
      </c>
      <c r="C36" s="35">
        <v>194.20500000000001</v>
      </c>
      <c r="D36" s="35">
        <v>267.46600000000001</v>
      </c>
      <c r="E36" s="41">
        <v>912.32899999999995</v>
      </c>
      <c r="F36" s="35">
        <v>1374</v>
      </c>
      <c r="G36" s="35">
        <v>50</v>
      </c>
      <c r="H36" s="43"/>
      <c r="I36" s="35">
        <v>695</v>
      </c>
      <c r="J36" s="35">
        <v>0</v>
      </c>
      <c r="K36" s="36"/>
      <c r="L36" s="45"/>
      <c r="M36" s="36"/>
      <c r="N36" s="36"/>
      <c r="O36" s="36"/>
      <c r="P36" s="36"/>
      <c r="Q36" s="36"/>
      <c r="R36" s="36"/>
      <c r="S36" s="36"/>
      <c r="T36" s="36"/>
    </row>
    <row r="37" spans="1:20" ht="15.75">
      <c r="A37" s="13">
        <v>42614</v>
      </c>
      <c r="B37" s="44">
        <v>30</v>
      </c>
      <c r="C37" s="35">
        <v>194.20500000000001</v>
      </c>
      <c r="D37" s="35">
        <v>267.46600000000001</v>
      </c>
      <c r="E37" s="41">
        <v>912.32899999999995</v>
      </c>
      <c r="F37" s="35">
        <v>1374</v>
      </c>
      <c r="G37" s="35">
        <v>50</v>
      </c>
      <c r="H37" s="43"/>
      <c r="I37" s="35">
        <v>695</v>
      </c>
      <c r="J37" s="35">
        <v>0</v>
      </c>
      <c r="K37" s="36"/>
      <c r="L37" s="45"/>
      <c r="M37" s="36"/>
      <c r="N37" s="36"/>
      <c r="O37" s="36"/>
      <c r="P37" s="36"/>
      <c r="Q37" s="36"/>
      <c r="R37" s="36"/>
      <c r="S37" s="36"/>
      <c r="T37" s="36"/>
    </row>
    <row r="38" spans="1:20" ht="15.75">
      <c r="A38" s="13">
        <v>42644</v>
      </c>
      <c r="B38" s="44">
        <v>31</v>
      </c>
      <c r="C38" s="35">
        <v>131.881</v>
      </c>
      <c r="D38" s="35">
        <v>277.16699999999997</v>
      </c>
      <c r="E38" s="41">
        <v>829.952</v>
      </c>
      <c r="F38" s="35">
        <v>1239</v>
      </c>
      <c r="G38" s="35">
        <v>75</v>
      </c>
      <c r="H38" s="43"/>
      <c r="I38" s="35">
        <v>695</v>
      </c>
      <c r="J38" s="35">
        <v>0</v>
      </c>
      <c r="K38" s="36"/>
      <c r="L38" s="45"/>
      <c r="M38" s="36"/>
      <c r="N38" s="36"/>
      <c r="O38" s="36"/>
      <c r="P38" s="36"/>
      <c r="Q38" s="36"/>
      <c r="R38" s="36"/>
      <c r="S38" s="36"/>
      <c r="T38" s="36"/>
    </row>
    <row r="39" spans="1:20" ht="15.75">
      <c r="A39" s="13">
        <v>42675</v>
      </c>
      <c r="B39" s="44">
        <v>30</v>
      </c>
      <c r="C39" s="35">
        <v>122.58</v>
      </c>
      <c r="D39" s="35">
        <v>297.94099999999997</v>
      </c>
      <c r="E39" s="41">
        <v>729.47900000000004</v>
      </c>
      <c r="F39" s="35">
        <v>1150</v>
      </c>
      <c r="G39" s="35">
        <v>100</v>
      </c>
      <c r="H39" s="43"/>
      <c r="I39" s="35">
        <v>695</v>
      </c>
      <c r="J39" s="35">
        <v>50</v>
      </c>
      <c r="K39" s="36"/>
      <c r="L39" s="45"/>
      <c r="M39" s="36"/>
      <c r="N39" s="36"/>
      <c r="O39" s="36"/>
      <c r="P39" s="36"/>
      <c r="Q39" s="36"/>
      <c r="R39" s="36"/>
      <c r="S39" s="36"/>
      <c r="T39" s="36"/>
    </row>
    <row r="40" spans="1:20" ht="15.75">
      <c r="A40" s="13">
        <v>42705</v>
      </c>
      <c r="B40" s="44">
        <v>31</v>
      </c>
      <c r="C40" s="35">
        <v>122.58</v>
      </c>
      <c r="D40" s="35">
        <v>297.94099999999997</v>
      </c>
      <c r="E40" s="41">
        <v>729.47900000000004</v>
      </c>
      <c r="F40" s="35">
        <v>1150</v>
      </c>
      <c r="G40" s="35">
        <v>100</v>
      </c>
      <c r="H40" s="43"/>
      <c r="I40" s="35">
        <v>695</v>
      </c>
      <c r="J40" s="35">
        <v>50</v>
      </c>
      <c r="K40" s="36"/>
      <c r="L40" s="45"/>
      <c r="M40" s="36"/>
      <c r="N40" s="36"/>
      <c r="O40" s="36"/>
      <c r="P40" s="36"/>
      <c r="Q40" s="36"/>
      <c r="R40" s="36"/>
      <c r="S40" s="36"/>
      <c r="T40" s="36"/>
    </row>
    <row r="41" spans="1:20" ht="15.75">
      <c r="A41" s="13">
        <v>42736</v>
      </c>
      <c r="B41" s="44">
        <v>31</v>
      </c>
      <c r="C41" s="35">
        <v>122.58</v>
      </c>
      <c r="D41" s="35">
        <v>297.94099999999997</v>
      </c>
      <c r="E41" s="41">
        <v>729.47900000000004</v>
      </c>
      <c r="F41" s="35">
        <v>1150</v>
      </c>
      <c r="G41" s="35">
        <v>100</v>
      </c>
      <c r="H41" s="43"/>
      <c r="I41" s="35">
        <v>695</v>
      </c>
      <c r="J41" s="35">
        <v>50</v>
      </c>
      <c r="K41" s="36"/>
      <c r="L41" s="45"/>
      <c r="M41" s="36"/>
      <c r="N41" s="36"/>
      <c r="O41" s="36"/>
      <c r="P41" s="36"/>
      <c r="Q41" s="36"/>
      <c r="R41" s="36"/>
      <c r="S41" s="36"/>
      <c r="T41" s="36"/>
    </row>
    <row r="42" spans="1:20" ht="15.75">
      <c r="A42" s="13">
        <v>42767</v>
      </c>
      <c r="B42" s="44">
        <v>28</v>
      </c>
      <c r="C42" s="35">
        <v>122.58</v>
      </c>
      <c r="D42" s="35">
        <v>297.94099999999997</v>
      </c>
      <c r="E42" s="41">
        <v>729.47900000000004</v>
      </c>
      <c r="F42" s="35">
        <v>1150</v>
      </c>
      <c r="G42" s="35">
        <v>100</v>
      </c>
      <c r="H42" s="43"/>
      <c r="I42" s="35">
        <v>695</v>
      </c>
      <c r="J42" s="35">
        <v>50</v>
      </c>
      <c r="K42" s="36"/>
      <c r="L42" s="45"/>
      <c r="M42" s="36"/>
      <c r="N42" s="36"/>
      <c r="O42" s="36"/>
      <c r="P42" s="36"/>
      <c r="Q42" s="36"/>
      <c r="R42" s="36"/>
      <c r="S42" s="36"/>
      <c r="T42" s="36"/>
    </row>
    <row r="43" spans="1:20" ht="15.75">
      <c r="A43" s="13">
        <v>42795</v>
      </c>
      <c r="B43" s="44">
        <v>31</v>
      </c>
      <c r="C43" s="35">
        <v>122.58</v>
      </c>
      <c r="D43" s="35">
        <v>297.94099999999997</v>
      </c>
      <c r="E43" s="41">
        <v>729.47900000000004</v>
      </c>
      <c r="F43" s="35">
        <v>1150</v>
      </c>
      <c r="G43" s="35">
        <v>100</v>
      </c>
      <c r="H43" s="43"/>
      <c r="I43" s="35">
        <v>695</v>
      </c>
      <c r="J43" s="35">
        <v>50</v>
      </c>
      <c r="K43" s="36"/>
      <c r="L43" s="45"/>
      <c r="M43" s="36"/>
      <c r="N43" s="36"/>
      <c r="O43" s="36"/>
      <c r="P43" s="36"/>
      <c r="Q43" s="36"/>
      <c r="R43" s="36"/>
      <c r="S43" s="36"/>
      <c r="T43" s="36"/>
    </row>
    <row r="44" spans="1:20" ht="15.75">
      <c r="A44" s="13">
        <v>42826</v>
      </c>
      <c r="B44" s="44">
        <v>30</v>
      </c>
      <c r="C44" s="35">
        <v>141.29300000000001</v>
      </c>
      <c r="D44" s="35">
        <v>267.99299999999999</v>
      </c>
      <c r="E44" s="41">
        <v>829.71400000000006</v>
      </c>
      <c r="F44" s="35">
        <v>1239</v>
      </c>
      <c r="G44" s="35">
        <v>100</v>
      </c>
      <c r="H44" s="43"/>
      <c r="I44" s="35">
        <v>695</v>
      </c>
      <c r="J44" s="35">
        <v>50</v>
      </c>
      <c r="K44" s="36"/>
      <c r="L44" s="45"/>
      <c r="M44" s="36"/>
      <c r="N44" s="36"/>
      <c r="O44" s="36"/>
      <c r="P44" s="36"/>
      <c r="Q44" s="36"/>
      <c r="R44" s="36"/>
      <c r="S44" s="36"/>
      <c r="T44" s="36"/>
    </row>
    <row r="45" spans="1:20" ht="15.75">
      <c r="A45" s="13">
        <v>42856</v>
      </c>
      <c r="B45" s="44">
        <v>31</v>
      </c>
      <c r="C45" s="35">
        <v>194.20500000000001</v>
      </c>
      <c r="D45" s="35">
        <v>267.46600000000001</v>
      </c>
      <c r="E45" s="41">
        <v>812.32899999999995</v>
      </c>
      <c r="F45" s="35">
        <v>1274</v>
      </c>
      <c r="G45" s="35">
        <v>75</v>
      </c>
      <c r="H45" s="43">
        <v>400</v>
      </c>
      <c r="I45" s="35">
        <v>695</v>
      </c>
      <c r="J45" s="35">
        <v>50</v>
      </c>
      <c r="K45" s="36"/>
      <c r="L45" s="45"/>
      <c r="M45" s="36"/>
      <c r="N45" s="36"/>
      <c r="O45" s="36"/>
      <c r="P45" s="36"/>
      <c r="Q45" s="36"/>
      <c r="R45" s="36"/>
      <c r="S45" s="36"/>
      <c r="T45" s="36"/>
    </row>
    <row r="46" spans="1:20" ht="15.75">
      <c r="A46" s="13">
        <v>42887</v>
      </c>
      <c r="B46" s="44">
        <v>30</v>
      </c>
      <c r="C46" s="35">
        <v>194.20500000000001</v>
      </c>
      <c r="D46" s="35">
        <v>267.46600000000001</v>
      </c>
      <c r="E46" s="41">
        <v>812.32899999999995</v>
      </c>
      <c r="F46" s="35">
        <v>1274</v>
      </c>
      <c r="G46" s="35">
        <v>50</v>
      </c>
      <c r="H46" s="43">
        <v>400</v>
      </c>
      <c r="I46" s="35">
        <v>695</v>
      </c>
      <c r="J46" s="35">
        <v>50</v>
      </c>
      <c r="K46" s="36"/>
      <c r="L46" s="45"/>
      <c r="M46" s="36"/>
      <c r="N46" s="36"/>
      <c r="O46" s="36"/>
      <c r="P46" s="36"/>
      <c r="Q46" s="36"/>
      <c r="R46" s="36"/>
      <c r="S46" s="36"/>
      <c r="T46" s="36"/>
    </row>
    <row r="47" spans="1:20" ht="15.75">
      <c r="A47" s="13">
        <v>42917</v>
      </c>
      <c r="B47" s="44">
        <v>31</v>
      </c>
      <c r="C47" s="35">
        <v>194.20500000000001</v>
      </c>
      <c r="D47" s="35">
        <v>267.46600000000001</v>
      </c>
      <c r="E47" s="41">
        <v>812.32899999999995</v>
      </c>
      <c r="F47" s="35">
        <v>1274</v>
      </c>
      <c r="G47" s="35">
        <v>50</v>
      </c>
      <c r="H47" s="43">
        <v>400</v>
      </c>
      <c r="I47" s="35">
        <v>695</v>
      </c>
      <c r="J47" s="35">
        <v>0</v>
      </c>
      <c r="K47" s="36"/>
      <c r="L47" s="45"/>
      <c r="M47" s="36"/>
      <c r="N47" s="36"/>
      <c r="O47" s="36"/>
      <c r="P47" s="36"/>
      <c r="Q47" s="36"/>
      <c r="R47" s="36"/>
      <c r="S47" s="36"/>
      <c r="T47" s="36"/>
    </row>
    <row r="48" spans="1:20" ht="15.75">
      <c r="A48" s="13">
        <v>42948</v>
      </c>
      <c r="B48" s="44">
        <v>31</v>
      </c>
      <c r="C48" s="35">
        <v>194.20500000000001</v>
      </c>
      <c r="D48" s="35">
        <v>267.46600000000001</v>
      </c>
      <c r="E48" s="41">
        <v>812.32899999999995</v>
      </c>
      <c r="F48" s="35">
        <v>1274</v>
      </c>
      <c r="G48" s="35">
        <v>50</v>
      </c>
      <c r="H48" s="43">
        <v>400</v>
      </c>
      <c r="I48" s="35">
        <v>695</v>
      </c>
      <c r="J48" s="35">
        <v>0</v>
      </c>
      <c r="K48" s="36"/>
      <c r="L48" s="45"/>
      <c r="M48" s="36"/>
      <c r="N48" s="36"/>
      <c r="O48" s="36"/>
      <c r="P48" s="36"/>
      <c r="Q48" s="36"/>
      <c r="R48" s="36"/>
      <c r="S48" s="36"/>
      <c r="T48" s="36"/>
    </row>
    <row r="49" spans="1:20" ht="15.75">
      <c r="A49" s="13">
        <v>42979</v>
      </c>
      <c r="B49" s="44">
        <v>30</v>
      </c>
      <c r="C49" s="35">
        <v>194.20500000000001</v>
      </c>
      <c r="D49" s="35">
        <v>267.46600000000001</v>
      </c>
      <c r="E49" s="41">
        <v>812.32899999999995</v>
      </c>
      <c r="F49" s="35">
        <v>1274</v>
      </c>
      <c r="G49" s="35">
        <v>50</v>
      </c>
      <c r="H49" s="43">
        <v>400</v>
      </c>
      <c r="I49" s="35">
        <v>695</v>
      </c>
      <c r="J49" s="35">
        <v>0</v>
      </c>
      <c r="K49" s="36"/>
      <c r="L49" s="45"/>
      <c r="M49" s="36"/>
      <c r="N49" s="36"/>
      <c r="O49" s="36"/>
      <c r="P49" s="36"/>
      <c r="Q49" s="36"/>
      <c r="R49" s="36"/>
      <c r="S49" s="36"/>
      <c r="T49" s="36"/>
    </row>
    <row r="50" spans="1:20" ht="15.75">
      <c r="A50" s="13">
        <v>43009</v>
      </c>
      <c r="B50" s="44">
        <v>31</v>
      </c>
      <c r="C50" s="35">
        <v>131.881</v>
      </c>
      <c r="D50" s="35">
        <v>277.16699999999997</v>
      </c>
      <c r="E50" s="41">
        <v>829.952</v>
      </c>
      <c r="F50" s="35">
        <v>1239</v>
      </c>
      <c r="G50" s="35">
        <v>75</v>
      </c>
      <c r="H50" s="43">
        <v>400</v>
      </c>
      <c r="I50" s="35">
        <v>695</v>
      </c>
      <c r="J50" s="35">
        <v>0</v>
      </c>
      <c r="K50" s="36"/>
      <c r="L50" s="45"/>
      <c r="M50" s="36"/>
      <c r="N50" s="36"/>
      <c r="O50" s="36"/>
      <c r="P50" s="36"/>
      <c r="Q50" s="36"/>
      <c r="R50" s="36"/>
      <c r="S50" s="36"/>
      <c r="T50" s="36"/>
    </row>
    <row r="51" spans="1:20" ht="15.75">
      <c r="A51" s="13">
        <v>43040</v>
      </c>
      <c r="B51" s="44">
        <v>30</v>
      </c>
      <c r="C51" s="35">
        <v>122.58</v>
      </c>
      <c r="D51" s="35">
        <v>297.94099999999997</v>
      </c>
      <c r="E51" s="41">
        <v>729.47900000000004</v>
      </c>
      <c r="F51" s="35">
        <v>1150</v>
      </c>
      <c r="G51" s="35">
        <v>100</v>
      </c>
      <c r="H51" s="43">
        <v>400</v>
      </c>
      <c r="I51" s="35">
        <v>695</v>
      </c>
      <c r="J51" s="35">
        <v>50</v>
      </c>
      <c r="K51" s="36"/>
      <c r="L51" s="45"/>
      <c r="M51" s="36"/>
      <c r="N51" s="36"/>
      <c r="O51" s="36"/>
      <c r="P51" s="36"/>
      <c r="Q51" s="36"/>
      <c r="R51" s="36"/>
      <c r="S51" s="36"/>
      <c r="T51" s="36"/>
    </row>
    <row r="52" spans="1:20" ht="15.75">
      <c r="A52" s="13">
        <v>43070</v>
      </c>
      <c r="B52" s="44">
        <v>31</v>
      </c>
      <c r="C52" s="35">
        <v>122.58</v>
      </c>
      <c r="D52" s="35">
        <v>297.94099999999997</v>
      </c>
      <c r="E52" s="41">
        <v>729.47900000000004</v>
      </c>
      <c r="F52" s="35">
        <v>1150</v>
      </c>
      <c r="G52" s="35">
        <v>100</v>
      </c>
      <c r="H52" s="43">
        <v>400</v>
      </c>
      <c r="I52" s="35">
        <v>695</v>
      </c>
      <c r="J52" s="35">
        <v>50</v>
      </c>
      <c r="K52" s="36"/>
      <c r="L52" s="45"/>
      <c r="M52" s="36"/>
      <c r="N52" s="36"/>
      <c r="O52" s="36"/>
      <c r="P52" s="36"/>
      <c r="Q52" s="36"/>
      <c r="R52" s="36"/>
      <c r="S52" s="36"/>
      <c r="T52" s="36"/>
    </row>
    <row r="53" spans="1:20" ht="15.75">
      <c r="A53" s="13">
        <v>43101</v>
      </c>
      <c r="B53" s="44">
        <v>31</v>
      </c>
      <c r="C53" s="35">
        <v>122.58</v>
      </c>
      <c r="D53" s="35">
        <v>297.94099999999997</v>
      </c>
      <c r="E53" s="41">
        <v>729.47900000000004</v>
      </c>
      <c r="F53" s="35">
        <v>1150</v>
      </c>
      <c r="G53" s="35">
        <v>100</v>
      </c>
      <c r="H53" s="43">
        <v>400</v>
      </c>
      <c r="I53" s="35">
        <v>695</v>
      </c>
      <c r="J53" s="35">
        <v>50</v>
      </c>
      <c r="K53" s="36"/>
      <c r="L53" s="45"/>
      <c r="M53" s="36"/>
      <c r="N53" s="36"/>
      <c r="O53" s="36"/>
      <c r="P53" s="36"/>
      <c r="Q53" s="36"/>
      <c r="R53" s="36"/>
      <c r="S53" s="36"/>
      <c r="T53" s="36"/>
    </row>
    <row r="54" spans="1:20" ht="15.75">
      <c r="A54" s="13">
        <v>43132</v>
      </c>
      <c r="B54" s="44">
        <v>28</v>
      </c>
      <c r="C54" s="35">
        <v>122.58</v>
      </c>
      <c r="D54" s="35">
        <v>297.94099999999997</v>
      </c>
      <c r="E54" s="41">
        <v>729.47900000000004</v>
      </c>
      <c r="F54" s="35">
        <v>1150</v>
      </c>
      <c r="G54" s="35">
        <v>100</v>
      </c>
      <c r="H54" s="43">
        <v>400</v>
      </c>
      <c r="I54" s="35">
        <v>695</v>
      </c>
      <c r="J54" s="35">
        <v>50</v>
      </c>
      <c r="K54" s="36"/>
      <c r="L54" s="45"/>
      <c r="M54" s="36"/>
      <c r="N54" s="36"/>
      <c r="O54" s="36"/>
      <c r="P54" s="36"/>
      <c r="Q54" s="36"/>
      <c r="R54" s="36"/>
      <c r="S54" s="36"/>
      <c r="T54" s="36"/>
    </row>
    <row r="55" spans="1:20" ht="15.75">
      <c r="A55" s="13">
        <v>43160</v>
      </c>
      <c r="B55" s="44">
        <v>31</v>
      </c>
      <c r="C55" s="35">
        <v>122.58</v>
      </c>
      <c r="D55" s="35">
        <v>297.94099999999997</v>
      </c>
      <c r="E55" s="41">
        <v>729.47900000000004</v>
      </c>
      <c r="F55" s="35">
        <v>1150</v>
      </c>
      <c r="G55" s="35">
        <v>100</v>
      </c>
      <c r="H55" s="43">
        <v>400</v>
      </c>
      <c r="I55" s="35">
        <v>695</v>
      </c>
      <c r="J55" s="35">
        <v>50</v>
      </c>
      <c r="K55" s="36"/>
      <c r="L55" s="45"/>
      <c r="M55" s="36"/>
      <c r="N55" s="36"/>
      <c r="O55" s="36"/>
      <c r="P55" s="36"/>
      <c r="Q55" s="36"/>
      <c r="R55" s="36"/>
      <c r="S55" s="36"/>
      <c r="T55" s="36"/>
    </row>
    <row r="56" spans="1:20" ht="15.75">
      <c r="A56" s="13">
        <v>43191</v>
      </c>
      <c r="B56" s="44">
        <v>30</v>
      </c>
      <c r="C56" s="35">
        <v>141.29300000000001</v>
      </c>
      <c r="D56" s="35">
        <v>267.99299999999999</v>
      </c>
      <c r="E56" s="41">
        <v>829.71400000000006</v>
      </c>
      <c r="F56" s="35">
        <v>1239</v>
      </c>
      <c r="G56" s="35">
        <v>100</v>
      </c>
      <c r="H56" s="43">
        <v>400</v>
      </c>
      <c r="I56" s="35">
        <v>695</v>
      </c>
      <c r="J56" s="35">
        <v>50</v>
      </c>
      <c r="K56" s="36"/>
      <c r="L56" s="45"/>
      <c r="M56" s="36"/>
      <c r="N56" s="36"/>
      <c r="O56" s="36"/>
      <c r="P56" s="36"/>
      <c r="Q56" s="36"/>
      <c r="R56" s="36"/>
      <c r="S56" s="36"/>
      <c r="T56" s="36"/>
    </row>
    <row r="57" spans="1:20" ht="15.75">
      <c r="A57" s="13">
        <v>43221</v>
      </c>
      <c r="B57" s="44">
        <v>31</v>
      </c>
      <c r="C57" s="35">
        <v>194.20500000000001</v>
      </c>
      <c r="D57" s="35">
        <v>267.46600000000001</v>
      </c>
      <c r="E57" s="41">
        <v>812.32899999999995</v>
      </c>
      <c r="F57" s="35">
        <v>1274</v>
      </c>
      <c r="G57" s="35">
        <v>75</v>
      </c>
      <c r="H57" s="43">
        <v>400</v>
      </c>
      <c r="I57" s="35">
        <v>695</v>
      </c>
      <c r="J57" s="35">
        <v>50</v>
      </c>
      <c r="K57" s="36"/>
      <c r="L57" s="45"/>
      <c r="M57" s="36"/>
      <c r="N57" s="36"/>
      <c r="O57" s="36"/>
      <c r="P57" s="36"/>
      <c r="Q57" s="36"/>
      <c r="R57" s="36"/>
      <c r="S57" s="36"/>
      <c r="T57" s="36"/>
    </row>
    <row r="58" spans="1:20" ht="15.75">
      <c r="A58" s="13">
        <v>43252</v>
      </c>
      <c r="B58" s="44">
        <v>30</v>
      </c>
      <c r="C58" s="35">
        <v>194.20500000000001</v>
      </c>
      <c r="D58" s="35">
        <v>267.46600000000001</v>
      </c>
      <c r="E58" s="41">
        <v>812.32899999999995</v>
      </c>
      <c r="F58" s="35">
        <v>1274</v>
      </c>
      <c r="G58" s="35">
        <v>50</v>
      </c>
      <c r="H58" s="43">
        <v>400</v>
      </c>
      <c r="I58" s="35">
        <v>695</v>
      </c>
      <c r="J58" s="35">
        <v>50</v>
      </c>
      <c r="K58" s="36"/>
      <c r="L58" s="45"/>
      <c r="M58" s="36"/>
      <c r="N58" s="36"/>
      <c r="O58" s="36"/>
      <c r="P58" s="36"/>
      <c r="Q58" s="36"/>
      <c r="R58" s="36"/>
      <c r="S58" s="36"/>
      <c r="T58" s="36"/>
    </row>
    <row r="59" spans="1:20" ht="15.75">
      <c r="A59" s="13">
        <v>43282</v>
      </c>
      <c r="B59" s="44">
        <v>31</v>
      </c>
      <c r="C59" s="35">
        <v>194.20500000000001</v>
      </c>
      <c r="D59" s="35">
        <v>267.46600000000001</v>
      </c>
      <c r="E59" s="41">
        <v>812.32899999999995</v>
      </c>
      <c r="F59" s="35">
        <v>1274</v>
      </c>
      <c r="G59" s="35">
        <v>50</v>
      </c>
      <c r="H59" s="43">
        <v>400</v>
      </c>
      <c r="I59" s="35">
        <v>695</v>
      </c>
      <c r="J59" s="35">
        <v>0</v>
      </c>
      <c r="K59" s="36"/>
      <c r="L59" s="45"/>
      <c r="M59" s="36"/>
      <c r="N59" s="36"/>
      <c r="O59" s="36"/>
      <c r="P59" s="36"/>
      <c r="Q59" s="36"/>
      <c r="R59" s="36"/>
      <c r="S59" s="36"/>
      <c r="T59" s="36"/>
    </row>
    <row r="60" spans="1:20" ht="15.75">
      <c r="A60" s="13">
        <v>43313</v>
      </c>
      <c r="B60" s="44">
        <v>31</v>
      </c>
      <c r="C60" s="35">
        <v>194.20500000000001</v>
      </c>
      <c r="D60" s="35">
        <v>267.46600000000001</v>
      </c>
      <c r="E60" s="41">
        <v>812.32899999999995</v>
      </c>
      <c r="F60" s="35">
        <v>1274</v>
      </c>
      <c r="G60" s="35">
        <v>50</v>
      </c>
      <c r="H60" s="43">
        <v>400</v>
      </c>
      <c r="I60" s="35">
        <v>695</v>
      </c>
      <c r="J60" s="35">
        <v>0</v>
      </c>
      <c r="K60" s="36"/>
      <c r="L60" s="45"/>
      <c r="M60" s="36"/>
      <c r="N60" s="36"/>
      <c r="O60" s="36"/>
      <c r="P60" s="36"/>
      <c r="Q60" s="36"/>
      <c r="R60" s="36"/>
      <c r="S60" s="36"/>
      <c r="T60" s="36"/>
    </row>
    <row r="61" spans="1:20" ht="15.75">
      <c r="A61" s="13">
        <v>43344</v>
      </c>
      <c r="B61" s="44">
        <v>30</v>
      </c>
      <c r="C61" s="35">
        <v>194.20500000000001</v>
      </c>
      <c r="D61" s="35">
        <v>267.46600000000001</v>
      </c>
      <c r="E61" s="41">
        <v>812.32899999999995</v>
      </c>
      <c r="F61" s="35">
        <v>1274</v>
      </c>
      <c r="G61" s="35">
        <v>50</v>
      </c>
      <c r="H61" s="43">
        <v>400</v>
      </c>
      <c r="I61" s="35">
        <v>695</v>
      </c>
      <c r="J61" s="35">
        <v>0</v>
      </c>
      <c r="K61" s="36"/>
      <c r="L61" s="45"/>
      <c r="M61" s="36"/>
      <c r="N61" s="36"/>
      <c r="O61" s="36"/>
      <c r="P61" s="36"/>
      <c r="Q61" s="36"/>
      <c r="R61" s="36"/>
      <c r="S61" s="36"/>
      <c r="T61" s="36"/>
    </row>
    <row r="62" spans="1:20" ht="15.75">
      <c r="A62" s="13">
        <v>43374</v>
      </c>
      <c r="B62" s="44">
        <v>31</v>
      </c>
      <c r="C62" s="35">
        <v>131.881</v>
      </c>
      <c r="D62" s="35">
        <v>277.16699999999997</v>
      </c>
      <c r="E62" s="41">
        <v>829.952</v>
      </c>
      <c r="F62" s="35">
        <v>1239</v>
      </c>
      <c r="G62" s="35">
        <v>75</v>
      </c>
      <c r="H62" s="43">
        <v>400</v>
      </c>
      <c r="I62" s="35">
        <v>695</v>
      </c>
      <c r="J62" s="35">
        <v>0</v>
      </c>
      <c r="K62" s="36"/>
      <c r="L62" s="45"/>
      <c r="M62" s="36"/>
      <c r="N62" s="36"/>
      <c r="O62" s="36"/>
      <c r="P62" s="36"/>
      <c r="Q62" s="36"/>
      <c r="R62" s="36"/>
      <c r="S62" s="36"/>
      <c r="T62" s="36"/>
    </row>
    <row r="63" spans="1:20" ht="15.75">
      <c r="A63" s="13">
        <v>43405</v>
      </c>
      <c r="B63" s="44">
        <v>30</v>
      </c>
      <c r="C63" s="35">
        <v>122.58</v>
      </c>
      <c r="D63" s="35">
        <v>297.94099999999997</v>
      </c>
      <c r="E63" s="41">
        <v>729.47900000000004</v>
      </c>
      <c r="F63" s="35">
        <v>1150</v>
      </c>
      <c r="G63" s="35">
        <v>100</v>
      </c>
      <c r="H63" s="43">
        <v>400</v>
      </c>
      <c r="I63" s="35">
        <v>695</v>
      </c>
      <c r="J63" s="35">
        <v>50</v>
      </c>
      <c r="K63" s="36"/>
      <c r="L63" s="45"/>
      <c r="M63" s="36"/>
      <c r="N63" s="36"/>
      <c r="O63" s="36"/>
      <c r="P63" s="36"/>
      <c r="Q63" s="36"/>
      <c r="R63" s="36"/>
      <c r="S63" s="36"/>
      <c r="T63" s="36"/>
    </row>
    <row r="64" spans="1:20" ht="15.75">
      <c r="A64" s="13">
        <v>43435</v>
      </c>
      <c r="B64" s="44">
        <v>31</v>
      </c>
      <c r="C64" s="35">
        <v>122.58</v>
      </c>
      <c r="D64" s="35">
        <v>297.94099999999997</v>
      </c>
      <c r="E64" s="41">
        <v>729.47900000000004</v>
      </c>
      <c r="F64" s="35">
        <v>1150</v>
      </c>
      <c r="G64" s="35">
        <v>100</v>
      </c>
      <c r="H64" s="43">
        <v>400</v>
      </c>
      <c r="I64" s="35">
        <v>695</v>
      </c>
      <c r="J64" s="35">
        <v>50</v>
      </c>
      <c r="K64" s="36"/>
      <c r="L64" s="45"/>
      <c r="M64" s="36"/>
      <c r="N64" s="36"/>
      <c r="O64" s="36"/>
      <c r="P64" s="36"/>
      <c r="Q64" s="36"/>
      <c r="R64" s="36"/>
      <c r="S64" s="36"/>
      <c r="T64" s="36"/>
    </row>
    <row r="65" spans="1:20" ht="15.75">
      <c r="A65" s="13">
        <v>43466</v>
      </c>
      <c r="B65" s="44">
        <v>31</v>
      </c>
      <c r="C65" s="35">
        <v>122.58</v>
      </c>
      <c r="D65" s="35">
        <v>297.94099999999997</v>
      </c>
      <c r="E65" s="41">
        <v>729.47900000000004</v>
      </c>
      <c r="F65" s="35">
        <v>1150</v>
      </c>
      <c r="G65" s="35">
        <v>100</v>
      </c>
      <c r="H65" s="43">
        <v>400</v>
      </c>
      <c r="I65" s="35">
        <v>695</v>
      </c>
      <c r="J65" s="35">
        <v>50</v>
      </c>
      <c r="K65" s="36"/>
      <c r="L65" s="36"/>
      <c r="M65" s="36"/>
      <c r="N65" s="36"/>
      <c r="O65" s="36"/>
      <c r="P65" s="36"/>
      <c r="Q65" s="36"/>
      <c r="R65" s="36"/>
      <c r="S65" s="36"/>
      <c r="T65" s="36"/>
    </row>
    <row r="66" spans="1:20" ht="15.75">
      <c r="A66" s="13">
        <v>43497</v>
      </c>
      <c r="B66" s="44">
        <v>28</v>
      </c>
      <c r="C66" s="35">
        <v>122.58</v>
      </c>
      <c r="D66" s="35">
        <v>297.94099999999997</v>
      </c>
      <c r="E66" s="41">
        <v>729.47900000000004</v>
      </c>
      <c r="F66" s="35">
        <v>1150</v>
      </c>
      <c r="G66" s="35">
        <v>100</v>
      </c>
      <c r="H66" s="43">
        <v>400</v>
      </c>
      <c r="I66" s="35">
        <v>695</v>
      </c>
      <c r="J66" s="35">
        <v>50</v>
      </c>
      <c r="K66" s="36"/>
      <c r="L66" s="36"/>
      <c r="M66" s="36"/>
      <c r="N66" s="36"/>
      <c r="O66" s="36"/>
      <c r="P66" s="36"/>
      <c r="Q66" s="36"/>
      <c r="R66" s="36"/>
      <c r="S66" s="36"/>
      <c r="T66" s="36"/>
    </row>
    <row r="67" spans="1:20" ht="15.75">
      <c r="A67" s="13">
        <v>43525</v>
      </c>
      <c r="B67" s="44">
        <v>31</v>
      </c>
      <c r="C67" s="35">
        <v>122.58</v>
      </c>
      <c r="D67" s="35">
        <v>297.94099999999997</v>
      </c>
      <c r="E67" s="41">
        <v>729.47900000000004</v>
      </c>
      <c r="F67" s="35">
        <v>1150</v>
      </c>
      <c r="G67" s="35">
        <v>100</v>
      </c>
      <c r="H67" s="43">
        <v>400</v>
      </c>
      <c r="I67" s="35">
        <v>695</v>
      </c>
      <c r="J67" s="35">
        <v>50</v>
      </c>
      <c r="K67" s="36"/>
      <c r="L67" s="36"/>
      <c r="M67" s="36"/>
      <c r="N67" s="36"/>
      <c r="O67" s="36"/>
      <c r="P67" s="36"/>
      <c r="Q67" s="36"/>
      <c r="R67" s="36"/>
      <c r="S67" s="36"/>
      <c r="T67" s="36"/>
    </row>
    <row r="68" spans="1:20" ht="15.75">
      <c r="A68" s="13">
        <v>43556</v>
      </c>
      <c r="B68" s="44">
        <v>30</v>
      </c>
      <c r="C68" s="35">
        <v>141.29300000000001</v>
      </c>
      <c r="D68" s="35">
        <v>267.99299999999999</v>
      </c>
      <c r="E68" s="41">
        <v>829.71400000000006</v>
      </c>
      <c r="F68" s="35">
        <v>1239</v>
      </c>
      <c r="G68" s="35">
        <v>100</v>
      </c>
      <c r="H68" s="43">
        <v>400</v>
      </c>
      <c r="I68" s="35">
        <v>695</v>
      </c>
      <c r="J68" s="35">
        <v>50</v>
      </c>
      <c r="K68" s="36"/>
      <c r="L68" s="36"/>
      <c r="M68" s="36"/>
      <c r="N68" s="36"/>
      <c r="O68" s="36"/>
      <c r="P68" s="36"/>
      <c r="Q68" s="36"/>
      <c r="R68" s="36"/>
      <c r="S68" s="36"/>
      <c r="T68" s="36"/>
    </row>
    <row r="69" spans="1:20" ht="15.75">
      <c r="A69" s="13">
        <v>43586</v>
      </c>
      <c r="B69" s="44">
        <v>31</v>
      </c>
      <c r="C69" s="35">
        <v>194.20500000000001</v>
      </c>
      <c r="D69" s="35">
        <v>267.46600000000001</v>
      </c>
      <c r="E69" s="41">
        <v>812.32899999999995</v>
      </c>
      <c r="F69" s="35">
        <v>1274</v>
      </c>
      <c r="G69" s="35">
        <v>75</v>
      </c>
      <c r="H69" s="43">
        <v>400</v>
      </c>
      <c r="I69" s="35">
        <v>695</v>
      </c>
      <c r="J69" s="35">
        <v>50</v>
      </c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15.75">
      <c r="A70" s="13">
        <v>43617</v>
      </c>
      <c r="B70" s="44">
        <v>30</v>
      </c>
      <c r="C70" s="35">
        <v>194.20500000000001</v>
      </c>
      <c r="D70" s="35">
        <v>267.46600000000001</v>
      </c>
      <c r="E70" s="41">
        <v>812.32899999999995</v>
      </c>
      <c r="F70" s="35">
        <v>1274</v>
      </c>
      <c r="G70" s="35">
        <v>50</v>
      </c>
      <c r="H70" s="43">
        <v>400</v>
      </c>
      <c r="I70" s="35">
        <v>695</v>
      </c>
      <c r="J70" s="35">
        <v>50</v>
      </c>
      <c r="K70" s="36"/>
      <c r="L70" s="36"/>
      <c r="M70" s="36"/>
      <c r="N70" s="36"/>
      <c r="O70" s="36"/>
      <c r="P70" s="36"/>
      <c r="Q70" s="36"/>
      <c r="R70" s="36"/>
      <c r="S70" s="36"/>
      <c r="T70" s="36"/>
    </row>
    <row r="71" spans="1:20" ht="15.75">
      <c r="A71" s="13">
        <v>43647</v>
      </c>
      <c r="B71" s="44">
        <v>31</v>
      </c>
      <c r="C71" s="35">
        <v>194.20500000000001</v>
      </c>
      <c r="D71" s="35">
        <v>267.46600000000001</v>
      </c>
      <c r="E71" s="41">
        <v>812.32899999999995</v>
      </c>
      <c r="F71" s="35">
        <v>1274</v>
      </c>
      <c r="G71" s="35">
        <v>50</v>
      </c>
      <c r="H71" s="43">
        <v>400</v>
      </c>
      <c r="I71" s="35">
        <v>695</v>
      </c>
      <c r="J71" s="35">
        <v>0</v>
      </c>
      <c r="K71" s="36"/>
      <c r="L71" s="36"/>
      <c r="M71" s="36"/>
      <c r="N71" s="36"/>
      <c r="O71" s="36"/>
      <c r="P71" s="36"/>
      <c r="Q71" s="36"/>
      <c r="R71" s="36"/>
      <c r="S71" s="36"/>
      <c r="T71" s="36"/>
    </row>
    <row r="72" spans="1:20" ht="15.75">
      <c r="A72" s="13">
        <v>43678</v>
      </c>
      <c r="B72" s="44">
        <v>31</v>
      </c>
      <c r="C72" s="35">
        <v>194.20500000000001</v>
      </c>
      <c r="D72" s="35">
        <v>267.46600000000001</v>
      </c>
      <c r="E72" s="41">
        <v>812.32899999999995</v>
      </c>
      <c r="F72" s="35">
        <v>1274</v>
      </c>
      <c r="G72" s="35">
        <v>50</v>
      </c>
      <c r="H72" s="43">
        <v>400</v>
      </c>
      <c r="I72" s="35">
        <v>695</v>
      </c>
      <c r="J72" s="35">
        <v>0</v>
      </c>
      <c r="K72" s="36"/>
      <c r="L72" s="36"/>
      <c r="M72" s="36"/>
      <c r="N72" s="36"/>
      <c r="O72" s="36"/>
      <c r="P72" s="36"/>
      <c r="Q72" s="36"/>
      <c r="R72" s="36"/>
      <c r="S72" s="36"/>
      <c r="T72" s="36"/>
    </row>
    <row r="73" spans="1:20" ht="15.75">
      <c r="A73" s="13">
        <v>43709</v>
      </c>
      <c r="B73" s="44">
        <v>30</v>
      </c>
      <c r="C73" s="35">
        <v>194.20500000000001</v>
      </c>
      <c r="D73" s="35">
        <v>267.46600000000001</v>
      </c>
      <c r="E73" s="41">
        <v>812.32899999999995</v>
      </c>
      <c r="F73" s="35">
        <v>1274</v>
      </c>
      <c r="G73" s="35">
        <v>50</v>
      </c>
      <c r="H73" s="43">
        <v>400</v>
      </c>
      <c r="I73" s="35">
        <v>695</v>
      </c>
      <c r="J73" s="35">
        <v>0</v>
      </c>
      <c r="K73" s="36"/>
      <c r="L73" s="36"/>
      <c r="M73" s="36"/>
      <c r="N73" s="36"/>
      <c r="O73" s="36"/>
      <c r="P73" s="36"/>
      <c r="Q73" s="36"/>
      <c r="R73" s="36"/>
      <c r="S73" s="36"/>
      <c r="T73" s="36"/>
    </row>
    <row r="74" spans="1:20" ht="15.75">
      <c r="A74" s="13">
        <v>43739</v>
      </c>
      <c r="B74" s="44">
        <v>31</v>
      </c>
      <c r="C74" s="35">
        <v>131.881</v>
      </c>
      <c r="D74" s="35">
        <v>277.16699999999997</v>
      </c>
      <c r="E74" s="41">
        <v>829.952</v>
      </c>
      <c r="F74" s="35">
        <v>1239</v>
      </c>
      <c r="G74" s="35">
        <v>75</v>
      </c>
      <c r="H74" s="43">
        <v>400</v>
      </c>
      <c r="I74" s="35">
        <v>695</v>
      </c>
      <c r="J74" s="35">
        <v>0</v>
      </c>
      <c r="K74" s="36"/>
      <c r="L74" s="36"/>
      <c r="M74" s="36"/>
      <c r="N74" s="36"/>
      <c r="O74" s="36"/>
      <c r="P74" s="36"/>
      <c r="Q74" s="36"/>
      <c r="R74" s="36"/>
      <c r="S74" s="36"/>
      <c r="T74" s="36"/>
    </row>
    <row r="75" spans="1:20" ht="15.75">
      <c r="A75" s="13">
        <v>43770</v>
      </c>
      <c r="B75" s="44">
        <v>30</v>
      </c>
      <c r="C75" s="35">
        <v>122.58</v>
      </c>
      <c r="D75" s="35">
        <v>297.94099999999997</v>
      </c>
      <c r="E75" s="41">
        <v>729.47900000000004</v>
      </c>
      <c r="F75" s="35">
        <v>1150</v>
      </c>
      <c r="G75" s="35">
        <v>100</v>
      </c>
      <c r="H75" s="43">
        <v>400</v>
      </c>
      <c r="I75" s="35">
        <v>695</v>
      </c>
      <c r="J75" s="35">
        <v>50</v>
      </c>
      <c r="K75" s="36"/>
      <c r="L75" s="36"/>
      <c r="M75" s="36"/>
      <c r="N75" s="36"/>
      <c r="O75" s="36"/>
      <c r="P75" s="36"/>
      <c r="Q75" s="36"/>
      <c r="R75" s="36"/>
      <c r="S75" s="36"/>
      <c r="T75" s="36"/>
    </row>
    <row r="76" spans="1:20" ht="15.75">
      <c r="A76" s="13">
        <v>43800</v>
      </c>
      <c r="B76" s="44">
        <v>31</v>
      </c>
      <c r="C76" s="35">
        <v>122.58</v>
      </c>
      <c r="D76" s="35">
        <v>297.94099999999997</v>
      </c>
      <c r="E76" s="41">
        <v>729.47900000000004</v>
      </c>
      <c r="F76" s="35">
        <v>1150</v>
      </c>
      <c r="G76" s="35">
        <v>100</v>
      </c>
      <c r="H76" s="43">
        <v>400</v>
      </c>
      <c r="I76" s="35">
        <v>695</v>
      </c>
      <c r="J76" s="35">
        <v>50</v>
      </c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1:20" ht="15.75">
      <c r="A77" s="13">
        <v>43831</v>
      </c>
      <c r="B77" s="44">
        <v>31</v>
      </c>
      <c r="C77" s="35">
        <v>122.58</v>
      </c>
      <c r="D77" s="35">
        <v>297.94099999999997</v>
      </c>
      <c r="E77" s="41">
        <v>729.47900000000004</v>
      </c>
      <c r="F77" s="35">
        <v>1150</v>
      </c>
      <c r="G77" s="35">
        <v>100</v>
      </c>
      <c r="H77" s="43">
        <v>400</v>
      </c>
      <c r="I77" s="35">
        <v>695</v>
      </c>
      <c r="J77" s="35">
        <v>50</v>
      </c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1:20" ht="15.75">
      <c r="A78" s="13">
        <v>43862</v>
      </c>
      <c r="B78" s="44">
        <v>29</v>
      </c>
      <c r="C78" s="35">
        <v>122.58</v>
      </c>
      <c r="D78" s="35">
        <v>297.94099999999997</v>
      </c>
      <c r="E78" s="41">
        <v>729.47900000000004</v>
      </c>
      <c r="F78" s="35">
        <v>1150</v>
      </c>
      <c r="G78" s="35">
        <v>100</v>
      </c>
      <c r="H78" s="43">
        <v>400</v>
      </c>
      <c r="I78" s="35">
        <v>695</v>
      </c>
      <c r="J78" s="35">
        <v>50</v>
      </c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1:20" ht="15.75">
      <c r="A79" s="13">
        <v>43891</v>
      </c>
      <c r="B79" s="44">
        <v>31</v>
      </c>
      <c r="C79" s="35">
        <v>122.58</v>
      </c>
      <c r="D79" s="35">
        <v>297.94099999999997</v>
      </c>
      <c r="E79" s="41">
        <v>729.47900000000004</v>
      </c>
      <c r="F79" s="35">
        <v>1150</v>
      </c>
      <c r="G79" s="35">
        <v>100</v>
      </c>
      <c r="H79" s="43">
        <v>400</v>
      </c>
      <c r="I79" s="35">
        <v>695</v>
      </c>
      <c r="J79" s="35">
        <v>50</v>
      </c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1:20" ht="15.75">
      <c r="A80" s="13">
        <v>43922</v>
      </c>
      <c r="B80" s="44">
        <v>30</v>
      </c>
      <c r="C80" s="35">
        <v>141.29300000000001</v>
      </c>
      <c r="D80" s="35">
        <v>267.99299999999999</v>
      </c>
      <c r="E80" s="41">
        <v>829.71400000000006</v>
      </c>
      <c r="F80" s="35">
        <v>1239</v>
      </c>
      <c r="G80" s="35">
        <v>100</v>
      </c>
      <c r="H80" s="43">
        <v>400</v>
      </c>
      <c r="I80" s="35">
        <v>695</v>
      </c>
      <c r="J80" s="35">
        <v>50</v>
      </c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0" ht="15.75">
      <c r="A81" s="13">
        <v>43952</v>
      </c>
      <c r="B81" s="44">
        <v>31</v>
      </c>
      <c r="C81" s="35">
        <v>194.20500000000001</v>
      </c>
      <c r="D81" s="35">
        <v>267.46600000000001</v>
      </c>
      <c r="E81" s="41">
        <v>812.32899999999995</v>
      </c>
      <c r="F81" s="35">
        <v>1274</v>
      </c>
      <c r="G81" s="35">
        <v>75</v>
      </c>
      <c r="H81" s="43">
        <v>600</v>
      </c>
      <c r="I81" s="35">
        <v>695</v>
      </c>
      <c r="J81" s="35">
        <v>50</v>
      </c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1:20" ht="15.75">
      <c r="A82" s="13">
        <v>43983</v>
      </c>
      <c r="B82" s="44">
        <v>30</v>
      </c>
      <c r="C82" s="35">
        <v>194.20500000000001</v>
      </c>
      <c r="D82" s="35">
        <v>267.46600000000001</v>
      </c>
      <c r="E82" s="41">
        <v>812.32899999999995</v>
      </c>
      <c r="F82" s="35">
        <v>1274</v>
      </c>
      <c r="G82" s="35">
        <v>50</v>
      </c>
      <c r="H82" s="43">
        <v>600</v>
      </c>
      <c r="I82" s="35">
        <v>695</v>
      </c>
      <c r="J82" s="35">
        <v>50</v>
      </c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1:20" ht="15.75">
      <c r="A83" s="13">
        <v>44013</v>
      </c>
      <c r="B83" s="44">
        <v>31</v>
      </c>
      <c r="C83" s="35">
        <v>194.20500000000001</v>
      </c>
      <c r="D83" s="35">
        <v>267.46600000000001</v>
      </c>
      <c r="E83" s="41">
        <v>812.32899999999995</v>
      </c>
      <c r="F83" s="35">
        <v>1274</v>
      </c>
      <c r="G83" s="35">
        <v>50</v>
      </c>
      <c r="H83" s="43">
        <v>600</v>
      </c>
      <c r="I83" s="35">
        <v>695</v>
      </c>
      <c r="J83" s="35">
        <v>0</v>
      </c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1:20" ht="15.75">
      <c r="A84" s="13">
        <v>44044</v>
      </c>
      <c r="B84" s="44">
        <v>31</v>
      </c>
      <c r="C84" s="35">
        <v>194.20500000000001</v>
      </c>
      <c r="D84" s="35">
        <v>267.46600000000001</v>
      </c>
      <c r="E84" s="41">
        <v>812.32899999999995</v>
      </c>
      <c r="F84" s="35">
        <v>1274</v>
      </c>
      <c r="G84" s="35">
        <v>50</v>
      </c>
      <c r="H84" s="43">
        <v>600</v>
      </c>
      <c r="I84" s="35">
        <v>695</v>
      </c>
      <c r="J84" s="35">
        <v>0</v>
      </c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1:20" ht="15.75">
      <c r="A85" s="13">
        <v>44075</v>
      </c>
      <c r="B85" s="44">
        <v>30</v>
      </c>
      <c r="C85" s="35">
        <v>194.20500000000001</v>
      </c>
      <c r="D85" s="35">
        <v>267.46600000000001</v>
      </c>
      <c r="E85" s="41">
        <v>812.32899999999995</v>
      </c>
      <c r="F85" s="35">
        <v>1274</v>
      </c>
      <c r="G85" s="35">
        <v>50</v>
      </c>
      <c r="H85" s="43">
        <v>600</v>
      </c>
      <c r="I85" s="35">
        <v>695</v>
      </c>
      <c r="J85" s="35">
        <v>0</v>
      </c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1:20" ht="15.75">
      <c r="A86" s="13">
        <v>44105</v>
      </c>
      <c r="B86" s="44">
        <v>31</v>
      </c>
      <c r="C86" s="35">
        <v>131.881</v>
      </c>
      <c r="D86" s="35">
        <v>277.16699999999997</v>
      </c>
      <c r="E86" s="41">
        <v>829.952</v>
      </c>
      <c r="F86" s="35">
        <v>1239</v>
      </c>
      <c r="G86" s="35">
        <v>75</v>
      </c>
      <c r="H86" s="43">
        <v>600</v>
      </c>
      <c r="I86" s="35">
        <v>695</v>
      </c>
      <c r="J86" s="35">
        <v>0</v>
      </c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1:20" ht="15.75">
      <c r="A87" s="13">
        <v>44136</v>
      </c>
      <c r="B87" s="44">
        <v>30</v>
      </c>
      <c r="C87" s="35">
        <v>122.58</v>
      </c>
      <c r="D87" s="35">
        <v>297.94099999999997</v>
      </c>
      <c r="E87" s="41">
        <v>729.47900000000004</v>
      </c>
      <c r="F87" s="35">
        <v>1150</v>
      </c>
      <c r="G87" s="35">
        <v>100</v>
      </c>
      <c r="H87" s="43">
        <v>600</v>
      </c>
      <c r="I87" s="35">
        <v>695</v>
      </c>
      <c r="J87" s="35">
        <v>50</v>
      </c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1:20" ht="15.75">
      <c r="A88" s="13">
        <v>44166</v>
      </c>
      <c r="B88" s="44">
        <v>31</v>
      </c>
      <c r="C88" s="35">
        <v>122.58</v>
      </c>
      <c r="D88" s="35">
        <v>297.94099999999997</v>
      </c>
      <c r="E88" s="41">
        <v>729.47900000000004</v>
      </c>
      <c r="F88" s="35">
        <v>1150</v>
      </c>
      <c r="G88" s="35">
        <v>100</v>
      </c>
      <c r="H88" s="43">
        <v>600</v>
      </c>
      <c r="I88" s="35">
        <v>695</v>
      </c>
      <c r="J88" s="35">
        <v>50</v>
      </c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1:20" ht="15.75">
      <c r="A89" s="13">
        <v>44197</v>
      </c>
      <c r="B89" s="44">
        <v>31</v>
      </c>
      <c r="C89" s="35">
        <v>122.58</v>
      </c>
      <c r="D89" s="35">
        <v>297.94099999999997</v>
      </c>
      <c r="E89" s="41">
        <v>729.47900000000004</v>
      </c>
      <c r="F89" s="35">
        <v>1150</v>
      </c>
      <c r="G89" s="35">
        <v>100</v>
      </c>
      <c r="H89" s="43">
        <v>600</v>
      </c>
      <c r="I89" s="35">
        <v>695</v>
      </c>
      <c r="J89" s="35">
        <v>50</v>
      </c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1:20" ht="15.75">
      <c r="A90" s="13">
        <v>44228</v>
      </c>
      <c r="B90" s="44">
        <v>28</v>
      </c>
      <c r="C90" s="35">
        <v>122.58</v>
      </c>
      <c r="D90" s="35">
        <v>297.94099999999997</v>
      </c>
      <c r="E90" s="41">
        <v>729.47900000000004</v>
      </c>
      <c r="F90" s="35">
        <v>1150</v>
      </c>
      <c r="G90" s="35">
        <v>100</v>
      </c>
      <c r="H90" s="43">
        <v>600</v>
      </c>
      <c r="I90" s="35">
        <v>695</v>
      </c>
      <c r="J90" s="35">
        <v>50</v>
      </c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1:20" ht="15.75">
      <c r="A91" s="13">
        <v>44256</v>
      </c>
      <c r="B91" s="44">
        <v>31</v>
      </c>
      <c r="C91" s="35">
        <v>122.58</v>
      </c>
      <c r="D91" s="35">
        <v>297.94099999999997</v>
      </c>
      <c r="E91" s="41">
        <v>729.47900000000004</v>
      </c>
      <c r="F91" s="35">
        <v>1150</v>
      </c>
      <c r="G91" s="35">
        <v>100</v>
      </c>
      <c r="H91" s="43">
        <v>600</v>
      </c>
      <c r="I91" s="35">
        <v>695</v>
      </c>
      <c r="J91" s="35">
        <v>50</v>
      </c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1:20" ht="15.75">
      <c r="A92" s="13">
        <v>44287</v>
      </c>
      <c r="B92" s="44">
        <v>30</v>
      </c>
      <c r="C92" s="35">
        <v>141.29300000000001</v>
      </c>
      <c r="D92" s="35">
        <v>267.99299999999999</v>
      </c>
      <c r="E92" s="41">
        <v>829.71400000000006</v>
      </c>
      <c r="F92" s="35">
        <v>1239</v>
      </c>
      <c r="G92" s="35">
        <v>100</v>
      </c>
      <c r="H92" s="43">
        <v>600</v>
      </c>
      <c r="I92" s="35">
        <v>695</v>
      </c>
      <c r="J92" s="35">
        <v>50</v>
      </c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1:20" ht="15.75">
      <c r="A93" s="13">
        <v>44317</v>
      </c>
      <c r="B93" s="44">
        <v>31</v>
      </c>
      <c r="C93" s="35">
        <v>194.20500000000001</v>
      </c>
      <c r="D93" s="35">
        <v>267.46600000000001</v>
      </c>
      <c r="E93" s="41">
        <v>812.32899999999995</v>
      </c>
      <c r="F93" s="35">
        <v>1274</v>
      </c>
      <c r="G93" s="35">
        <v>75</v>
      </c>
      <c r="H93" s="43">
        <v>600</v>
      </c>
      <c r="I93" s="35">
        <v>695</v>
      </c>
      <c r="J93" s="35">
        <v>50</v>
      </c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1:20" ht="15.75">
      <c r="A94" s="13">
        <v>44348</v>
      </c>
      <c r="B94" s="44">
        <v>30</v>
      </c>
      <c r="C94" s="35">
        <v>194.20500000000001</v>
      </c>
      <c r="D94" s="35">
        <v>267.46600000000001</v>
      </c>
      <c r="E94" s="41">
        <v>812.32899999999995</v>
      </c>
      <c r="F94" s="35">
        <v>1274</v>
      </c>
      <c r="G94" s="35">
        <v>50</v>
      </c>
      <c r="H94" s="43">
        <v>600</v>
      </c>
      <c r="I94" s="35">
        <v>695</v>
      </c>
      <c r="J94" s="35">
        <v>50</v>
      </c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1:20" ht="15.75">
      <c r="A95" s="13">
        <v>44378</v>
      </c>
      <c r="B95" s="44">
        <v>31</v>
      </c>
      <c r="C95" s="35">
        <v>194.20500000000001</v>
      </c>
      <c r="D95" s="35">
        <v>267.46600000000001</v>
      </c>
      <c r="E95" s="41">
        <v>812.32899999999995</v>
      </c>
      <c r="F95" s="35">
        <v>1274</v>
      </c>
      <c r="G95" s="35">
        <v>50</v>
      </c>
      <c r="H95" s="43">
        <v>600</v>
      </c>
      <c r="I95" s="35">
        <v>695</v>
      </c>
      <c r="J95" s="35">
        <v>0</v>
      </c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1:20" ht="15.75">
      <c r="A96" s="13">
        <v>44409</v>
      </c>
      <c r="B96" s="44">
        <v>31</v>
      </c>
      <c r="C96" s="35">
        <v>194.20500000000001</v>
      </c>
      <c r="D96" s="35">
        <v>267.46600000000001</v>
      </c>
      <c r="E96" s="41">
        <v>812.32899999999995</v>
      </c>
      <c r="F96" s="35">
        <v>1274</v>
      </c>
      <c r="G96" s="35">
        <v>50</v>
      </c>
      <c r="H96" s="43">
        <v>600</v>
      </c>
      <c r="I96" s="35">
        <v>695</v>
      </c>
      <c r="J96" s="35">
        <v>0</v>
      </c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1:20" ht="15.75">
      <c r="A97" s="13">
        <v>44440</v>
      </c>
      <c r="B97" s="44">
        <v>30</v>
      </c>
      <c r="C97" s="35">
        <v>194.20500000000001</v>
      </c>
      <c r="D97" s="35">
        <v>267.46600000000001</v>
      </c>
      <c r="E97" s="41">
        <v>812.32899999999995</v>
      </c>
      <c r="F97" s="35">
        <v>1274</v>
      </c>
      <c r="G97" s="35">
        <v>50</v>
      </c>
      <c r="H97" s="43">
        <v>600</v>
      </c>
      <c r="I97" s="35">
        <v>695</v>
      </c>
      <c r="J97" s="35">
        <v>0</v>
      </c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1:20" ht="15.75">
      <c r="A98" s="13">
        <v>44470</v>
      </c>
      <c r="B98" s="44">
        <v>31</v>
      </c>
      <c r="C98" s="35">
        <v>131.881</v>
      </c>
      <c r="D98" s="35">
        <v>277.16699999999997</v>
      </c>
      <c r="E98" s="41">
        <v>829.952</v>
      </c>
      <c r="F98" s="35">
        <v>1239</v>
      </c>
      <c r="G98" s="35">
        <v>75</v>
      </c>
      <c r="H98" s="43">
        <v>600</v>
      </c>
      <c r="I98" s="35">
        <v>695</v>
      </c>
      <c r="J98" s="35">
        <v>0</v>
      </c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1:20" ht="15.75">
      <c r="A99" s="13">
        <v>44501</v>
      </c>
      <c r="B99" s="44">
        <v>30</v>
      </c>
      <c r="C99" s="35">
        <v>122.58</v>
      </c>
      <c r="D99" s="35">
        <v>297.94099999999997</v>
      </c>
      <c r="E99" s="41">
        <v>729.47900000000004</v>
      </c>
      <c r="F99" s="35">
        <v>1150</v>
      </c>
      <c r="G99" s="35">
        <v>100</v>
      </c>
      <c r="H99" s="43">
        <v>600</v>
      </c>
      <c r="I99" s="35">
        <v>695</v>
      </c>
      <c r="J99" s="35">
        <v>50</v>
      </c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1:20" ht="15.75">
      <c r="A100" s="13">
        <v>44531</v>
      </c>
      <c r="B100" s="44">
        <v>31</v>
      </c>
      <c r="C100" s="35">
        <v>122.58</v>
      </c>
      <c r="D100" s="35">
        <v>297.94099999999997</v>
      </c>
      <c r="E100" s="41">
        <v>729.47900000000004</v>
      </c>
      <c r="F100" s="35">
        <v>1150</v>
      </c>
      <c r="G100" s="35">
        <v>100</v>
      </c>
      <c r="H100" s="43">
        <v>600</v>
      </c>
      <c r="I100" s="35">
        <v>695</v>
      </c>
      <c r="J100" s="35">
        <v>50</v>
      </c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1:20" ht="15.75">
      <c r="A101" s="13">
        <v>44562</v>
      </c>
      <c r="B101" s="44">
        <v>31</v>
      </c>
      <c r="C101" s="35">
        <v>122.58</v>
      </c>
      <c r="D101" s="35">
        <v>297.94099999999997</v>
      </c>
      <c r="E101" s="41">
        <v>729.47900000000004</v>
      </c>
      <c r="F101" s="35">
        <v>1150</v>
      </c>
      <c r="G101" s="35">
        <v>100</v>
      </c>
      <c r="H101" s="43">
        <v>600</v>
      </c>
      <c r="I101" s="35">
        <v>695</v>
      </c>
      <c r="J101" s="35">
        <v>50</v>
      </c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1:20" ht="15.75">
      <c r="A102" s="13">
        <v>44593</v>
      </c>
      <c r="B102" s="44">
        <v>28</v>
      </c>
      <c r="C102" s="35">
        <v>122.58</v>
      </c>
      <c r="D102" s="35">
        <v>297.94099999999997</v>
      </c>
      <c r="E102" s="41">
        <v>729.47900000000004</v>
      </c>
      <c r="F102" s="35">
        <v>1150</v>
      </c>
      <c r="G102" s="35">
        <v>100</v>
      </c>
      <c r="H102" s="43">
        <v>600</v>
      </c>
      <c r="I102" s="35">
        <v>695</v>
      </c>
      <c r="J102" s="35">
        <v>50</v>
      </c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1:20" ht="15.75">
      <c r="A103" s="13">
        <v>44621</v>
      </c>
      <c r="B103" s="44">
        <v>31</v>
      </c>
      <c r="C103" s="35">
        <v>122.58</v>
      </c>
      <c r="D103" s="35">
        <v>297.94099999999997</v>
      </c>
      <c r="E103" s="41">
        <v>729.47900000000004</v>
      </c>
      <c r="F103" s="35">
        <v>1150</v>
      </c>
      <c r="G103" s="35">
        <v>100</v>
      </c>
      <c r="H103" s="43">
        <v>600</v>
      </c>
      <c r="I103" s="35">
        <v>695</v>
      </c>
      <c r="J103" s="35">
        <v>50</v>
      </c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1:20" ht="15.75">
      <c r="A104" s="13">
        <v>44652</v>
      </c>
      <c r="B104" s="44">
        <v>30</v>
      </c>
      <c r="C104" s="35">
        <v>141.29300000000001</v>
      </c>
      <c r="D104" s="35">
        <v>267.99299999999999</v>
      </c>
      <c r="E104" s="41">
        <v>829.71400000000006</v>
      </c>
      <c r="F104" s="35">
        <v>1239</v>
      </c>
      <c r="G104" s="35">
        <v>100</v>
      </c>
      <c r="H104" s="43">
        <v>600</v>
      </c>
      <c r="I104" s="35">
        <v>695</v>
      </c>
      <c r="J104" s="35">
        <v>50</v>
      </c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1:20" ht="15.75">
      <c r="A105" s="13">
        <v>44682</v>
      </c>
      <c r="B105" s="44">
        <v>31</v>
      </c>
      <c r="C105" s="35">
        <v>194.20500000000001</v>
      </c>
      <c r="D105" s="35">
        <v>267.46600000000001</v>
      </c>
      <c r="E105" s="41">
        <v>812.32899999999995</v>
      </c>
      <c r="F105" s="35">
        <v>1274</v>
      </c>
      <c r="G105" s="35">
        <v>75</v>
      </c>
      <c r="H105" s="43">
        <v>600</v>
      </c>
      <c r="I105" s="35">
        <v>695</v>
      </c>
      <c r="J105" s="35">
        <v>50</v>
      </c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1:20" ht="15.75">
      <c r="A106" s="13">
        <v>44713</v>
      </c>
      <c r="B106" s="44">
        <v>30</v>
      </c>
      <c r="C106" s="35">
        <v>194.20500000000001</v>
      </c>
      <c r="D106" s="35">
        <v>267.46600000000001</v>
      </c>
      <c r="E106" s="41">
        <v>812.32899999999995</v>
      </c>
      <c r="F106" s="35">
        <v>1274</v>
      </c>
      <c r="G106" s="35">
        <v>50</v>
      </c>
      <c r="H106" s="43">
        <v>600</v>
      </c>
      <c r="I106" s="35">
        <v>695</v>
      </c>
      <c r="J106" s="35">
        <v>50</v>
      </c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1:20" ht="15.75">
      <c r="A107" s="13">
        <v>44743</v>
      </c>
      <c r="B107" s="44">
        <v>31</v>
      </c>
      <c r="C107" s="35">
        <v>194.20500000000001</v>
      </c>
      <c r="D107" s="35">
        <v>267.46600000000001</v>
      </c>
      <c r="E107" s="41">
        <v>812.32899999999995</v>
      </c>
      <c r="F107" s="35">
        <v>1274</v>
      </c>
      <c r="G107" s="35">
        <v>50</v>
      </c>
      <c r="H107" s="43">
        <v>600</v>
      </c>
      <c r="I107" s="35">
        <v>695</v>
      </c>
      <c r="J107" s="35">
        <v>0</v>
      </c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ht="15.75">
      <c r="A108" s="13">
        <v>44774</v>
      </c>
      <c r="B108" s="44">
        <v>31</v>
      </c>
      <c r="C108" s="35">
        <v>194.20500000000001</v>
      </c>
      <c r="D108" s="35">
        <v>267.46600000000001</v>
      </c>
      <c r="E108" s="41">
        <v>812.32899999999995</v>
      </c>
      <c r="F108" s="35">
        <v>1274</v>
      </c>
      <c r="G108" s="35">
        <v>50</v>
      </c>
      <c r="H108" s="43">
        <v>600</v>
      </c>
      <c r="I108" s="35">
        <v>695</v>
      </c>
      <c r="J108" s="35">
        <v>0</v>
      </c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1:20" ht="15.75">
      <c r="A109" s="13">
        <v>44805</v>
      </c>
      <c r="B109" s="44">
        <v>30</v>
      </c>
      <c r="C109" s="35">
        <v>194.20500000000001</v>
      </c>
      <c r="D109" s="35">
        <v>267.46600000000001</v>
      </c>
      <c r="E109" s="41">
        <v>812.32899999999995</v>
      </c>
      <c r="F109" s="35">
        <v>1274</v>
      </c>
      <c r="G109" s="35">
        <v>50</v>
      </c>
      <c r="H109" s="43">
        <v>600</v>
      </c>
      <c r="I109" s="35">
        <v>695</v>
      </c>
      <c r="J109" s="35">
        <v>0</v>
      </c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1:20" ht="15.75">
      <c r="A110" s="13">
        <v>44835</v>
      </c>
      <c r="B110" s="44">
        <v>31</v>
      </c>
      <c r="C110" s="35">
        <v>131.881</v>
      </c>
      <c r="D110" s="35">
        <v>277.16699999999997</v>
      </c>
      <c r="E110" s="41">
        <v>829.952</v>
      </c>
      <c r="F110" s="35">
        <v>1239</v>
      </c>
      <c r="G110" s="35">
        <v>75</v>
      </c>
      <c r="H110" s="43">
        <v>600</v>
      </c>
      <c r="I110" s="35">
        <v>695</v>
      </c>
      <c r="J110" s="35">
        <v>0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1:20" ht="15.75">
      <c r="A111" s="13">
        <v>44866</v>
      </c>
      <c r="B111" s="44">
        <v>30</v>
      </c>
      <c r="C111" s="35">
        <v>122.58</v>
      </c>
      <c r="D111" s="35">
        <v>297.94099999999997</v>
      </c>
      <c r="E111" s="41">
        <v>729.47900000000004</v>
      </c>
      <c r="F111" s="35">
        <v>1150</v>
      </c>
      <c r="G111" s="35">
        <v>100</v>
      </c>
      <c r="H111" s="43">
        <v>600</v>
      </c>
      <c r="I111" s="35">
        <v>695</v>
      </c>
      <c r="J111" s="35">
        <v>50</v>
      </c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1:20" ht="15.75">
      <c r="A112" s="13">
        <v>44896</v>
      </c>
      <c r="B112" s="44">
        <v>31</v>
      </c>
      <c r="C112" s="35">
        <v>122.58</v>
      </c>
      <c r="D112" s="35">
        <v>297.94099999999997</v>
      </c>
      <c r="E112" s="41">
        <v>729.47900000000004</v>
      </c>
      <c r="F112" s="35">
        <v>1150</v>
      </c>
      <c r="G112" s="35">
        <v>100</v>
      </c>
      <c r="H112" s="43">
        <v>600</v>
      </c>
      <c r="I112" s="35">
        <v>695</v>
      </c>
      <c r="J112" s="35">
        <v>50</v>
      </c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1:20" ht="15.75">
      <c r="A113" s="13">
        <v>44927</v>
      </c>
      <c r="B113" s="44">
        <v>31</v>
      </c>
      <c r="C113" s="35">
        <v>122.58</v>
      </c>
      <c r="D113" s="35">
        <v>297.94099999999997</v>
      </c>
      <c r="E113" s="41">
        <v>729.47900000000004</v>
      </c>
      <c r="F113" s="35">
        <v>1150</v>
      </c>
      <c r="G113" s="35">
        <v>100</v>
      </c>
      <c r="H113" s="43">
        <v>600</v>
      </c>
      <c r="I113" s="35">
        <v>695</v>
      </c>
      <c r="J113" s="35">
        <v>50</v>
      </c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1:20" ht="15.75">
      <c r="A114" s="13">
        <v>44958</v>
      </c>
      <c r="B114" s="44">
        <v>28</v>
      </c>
      <c r="C114" s="35">
        <v>122.58</v>
      </c>
      <c r="D114" s="35">
        <v>297.94099999999997</v>
      </c>
      <c r="E114" s="41">
        <v>729.47900000000004</v>
      </c>
      <c r="F114" s="35">
        <v>1150</v>
      </c>
      <c r="G114" s="35">
        <v>100</v>
      </c>
      <c r="H114" s="43">
        <v>600</v>
      </c>
      <c r="I114" s="35">
        <v>695</v>
      </c>
      <c r="J114" s="35">
        <v>50</v>
      </c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1:20" ht="15.75">
      <c r="A115" s="13">
        <v>44986</v>
      </c>
      <c r="B115" s="44">
        <v>31</v>
      </c>
      <c r="C115" s="35">
        <v>122.58</v>
      </c>
      <c r="D115" s="35">
        <v>297.94099999999997</v>
      </c>
      <c r="E115" s="41">
        <v>729.47900000000004</v>
      </c>
      <c r="F115" s="35">
        <v>1150</v>
      </c>
      <c r="G115" s="35">
        <v>100</v>
      </c>
      <c r="H115" s="43">
        <v>600</v>
      </c>
      <c r="I115" s="35">
        <v>695</v>
      </c>
      <c r="J115" s="35">
        <v>50</v>
      </c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1:20" ht="15.75">
      <c r="A116" s="13">
        <v>45017</v>
      </c>
      <c r="B116" s="44">
        <v>30</v>
      </c>
      <c r="C116" s="35">
        <v>141.29300000000001</v>
      </c>
      <c r="D116" s="35">
        <v>267.99299999999999</v>
      </c>
      <c r="E116" s="41">
        <v>829.71400000000006</v>
      </c>
      <c r="F116" s="35">
        <v>1239</v>
      </c>
      <c r="G116" s="35">
        <v>100</v>
      </c>
      <c r="H116" s="43">
        <v>600</v>
      </c>
      <c r="I116" s="35">
        <v>695</v>
      </c>
      <c r="J116" s="35">
        <v>50</v>
      </c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1:20" ht="15.75">
      <c r="A117" s="13">
        <v>45047</v>
      </c>
      <c r="B117" s="44">
        <v>31</v>
      </c>
      <c r="C117" s="35">
        <v>194.20500000000001</v>
      </c>
      <c r="D117" s="35">
        <v>267.46600000000001</v>
      </c>
      <c r="E117" s="41">
        <v>812.32899999999995</v>
      </c>
      <c r="F117" s="35">
        <v>1274</v>
      </c>
      <c r="G117" s="35">
        <v>75</v>
      </c>
      <c r="H117" s="43">
        <v>600</v>
      </c>
      <c r="I117" s="35">
        <v>695</v>
      </c>
      <c r="J117" s="35">
        <v>50</v>
      </c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1:20" ht="15.75">
      <c r="A118" s="13">
        <v>45078</v>
      </c>
      <c r="B118" s="44">
        <v>30</v>
      </c>
      <c r="C118" s="35">
        <v>194.20500000000001</v>
      </c>
      <c r="D118" s="35">
        <v>267.46600000000001</v>
      </c>
      <c r="E118" s="41">
        <v>812.32899999999995</v>
      </c>
      <c r="F118" s="35">
        <v>1274</v>
      </c>
      <c r="G118" s="35">
        <v>50</v>
      </c>
      <c r="H118" s="43">
        <v>600</v>
      </c>
      <c r="I118" s="35">
        <v>695</v>
      </c>
      <c r="J118" s="35">
        <v>50</v>
      </c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1:20" ht="15.75">
      <c r="A119" s="13">
        <v>45108</v>
      </c>
      <c r="B119" s="44">
        <v>31</v>
      </c>
      <c r="C119" s="35">
        <v>194.20500000000001</v>
      </c>
      <c r="D119" s="35">
        <v>267.46600000000001</v>
      </c>
      <c r="E119" s="41">
        <v>812.32899999999995</v>
      </c>
      <c r="F119" s="35">
        <v>1274</v>
      </c>
      <c r="G119" s="35">
        <v>50</v>
      </c>
      <c r="H119" s="43">
        <v>600</v>
      </c>
      <c r="I119" s="35">
        <v>695</v>
      </c>
      <c r="J119" s="35">
        <v>0</v>
      </c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1:20" ht="15.75">
      <c r="A120" s="13">
        <v>45139</v>
      </c>
      <c r="B120" s="44">
        <v>31</v>
      </c>
      <c r="C120" s="35">
        <v>194.20500000000001</v>
      </c>
      <c r="D120" s="35">
        <v>267.46600000000001</v>
      </c>
      <c r="E120" s="41">
        <v>812.32899999999995</v>
      </c>
      <c r="F120" s="35">
        <v>1274</v>
      </c>
      <c r="G120" s="35">
        <v>50</v>
      </c>
      <c r="H120" s="43">
        <v>600</v>
      </c>
      <c r="I120" s="35">
        <v>695</v>
      </c>
      <c r="J120" s="35">
        <v>0</v>
      </c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1:20" ht="15.75">
      <c r="A121" s="13">
        <v>45170</v>
      </c>
      <c r="B121" s="44">
        <v>30</v>
      </c>
      <c r="C121" s="35">
        <v>194.20500000000001</v>
      </c>
      <c r="D121" s="35">
        <v>267.46600000000001</v>
      </c>
      <c r="E121" s="41">
        <v>812.32899999999995</v>
      </c>
      <c r="F121" s="35">
        <v>1274</v>
      </c>
      <c r="G121" s="35">
        <v>50</v>
      </c>
      <c r="H121" s="43">
        <v>600</v>
      </c>
      <c r="I121" s="35">
        <v>695</v>
      </c>
      <c r="J121" s="35">
        <v>0</v>
      </c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1:20" ht="15.75">
      <c r="A122" s="13">
        <v>45200</v>
      </c>
      <c r="B122" s="44">
        <v>31</v>
      </c>
      <c r="C122" s="35">
        <v>131.881</v>
      </c>
      <c r="D122" s="35">
        <v>277.16699999999997</v>
      </c>
      <c r="E122" s="41">
        <v>829.952</v>
      </c>
      <c r="F122" s="35">
        <v>1239</v>
      </c>
      <c r="G122" s="35">
        <v>75</v>
      </c>
      <c r="H122" s="43">
        <v>600</v>
      </c>
      <c r="I122" s="35">
        <v>695</v>
      </c>
      <c r="J122" s="35">
        <v>0</v>
      </c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1:20" ht="15.75">
      <c r="A123" s="13">
        <v>45231</v>
      </c>
      <c r="B123" s="44">
        <v>30</v>
      </c>
      <c r="C123" s="35">
        <v>122.58</v>
      </c>
      <c r="D123" s="35">
        <v>297.94099999999997</v>
      </c>
      <c r="E123" s="41">
        <v>729.47900000000004</v>
      </c>
      <c r="F123" s="35">
        <v>1150</v>
      </c>
      <c r="G123" s="35">
        <v>100</v>
      </c>
      <c r="H123" s="43">
        <v>600</v>
      </c>
      <c r="I123" s="35">
        <v>695</v>
      </c>
      <c r="J123" s="35">
        <v>50</v>
      </c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1:20" ht="15.75">
      <c r="A124" s="13">
        <v>45261</v>
      </c>
      <c r="B124" s="44">
        <v>31</v>
      </c>
      <c r="C124" s="35">
        <v>122.58</v>
      </c>
      <c r="D124" s="35">
        <v>297.94099999999997</v>
      </c>
      <c r="E124" s="41">
        <v>729.47900000000004</v>
      </c>
      <c r="F124" s="35">
        <v>1150</v>
      </c>
      <c r="G124" s="35">
        <v>100</v>
      </c>
      <c r="H124" s="43">
        <v>600</v>
      </c>
      <c r="I124" s="35">
        <v>695</v>
      </c>
      <c r="J124" s="35">
        <v>50</v>
      </c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1:20" ht="15.75">
      <c r="A125" s="13">
        <v>45292</v>
      </c>
      <c r="B125" s="44">
        <v>31</v>
      </c>
      <c r="C125" s="35">
        <v>122.58</v>
      </c>
      <c r="D125" s="35">
        <v>297.94099999999997</v>
      </c>
      <c r="E125" s="41">
        <v>729.47900000000004</v>
      </c>
      <c r="F125" s="35">
        <v>1150</v>
      </c>
      <c r="G125" s="35">
        <v>100</v>
      </c>
      <c r="H125" s="43">
        <v>600</v>
      </c>
      <c r="I125" s="35">
        <v>695</v>
      </c>
      <c r="J125" s="35">
        <v>50</v>
      </c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1:20" ht="15.75">
      <c r="A126" s="13">
        <v>45323</v>
      </c>
      <c r="B126" s="44">
        <v>29</v>
      </c>
      <c r="C126" s="35">
        <v>122.58</v>
      </c>
      <c r="D126" s="35">
        <v>297.94099999999997</v>
      </c>
      <c r="E126" s="41">
        <v>729.47900000000004</v>
      </c>
      <c r="F126" s="35">
        <v>1150</v>
      </c>
      <c r="G126" s="35">
        <v>100</v>
      </c>
      <c r="H126" s="43">
        <v>600</v>
      </c>
      <c r="I126" s="35">
        <v>695</v>
      </c>
      <c r="J126" s="35">
        <v>50</v>
      </c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1:20" ht="15.75">
      <c r="A127" s="13">
        <v>45352</v>
      </c>
      <c r="B127" s="44">
        <v>31</v>
      </c>
      <c r="C127" s="35">
        <v>122.58</v>
      </c>
      <c r="D127" s="35">
        <v>297.94099999999997</v>
      </c>
      <c r="E127" s="41">
        <v>729.47900000000004</v>
      </c>
      <c r="F127" s="35">
        <v>1150</v>
      </c>
      <c r="G127" s="35">
        <v>100</v>
      </c>
      <c r="H127" s="43">
        <v>600</v>
      </c>
      <c r="I127" s="35">
        <v>695</v>
      </c>
      <c r="J127" s="35">
        <v>50</v>
      </c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1:20" ht="15.75">
      <c r="A128" s="13">
        <v>45383</v>
      </c>
      <c r="B128" s="44">
        <v>30</v>
      </c>
      <c r="C128" s="35">
        <v>141.29300000000001</v>
      </c>
      <c r="D128" s="35">
        <v>267.99299999999999</v>
      </c>
      <c r="E128" s="41">
        <v>829.71400000000006</v>
      </c>
      <c r="F128" s="35">
        <v>1239</v>
      </c>
      <c r="G128" s="35">
        <v>100</v>
      </c>
      <c r="H128" s="43">
        <v>600</v>
      </c>
      <c r="I128" s="35">
        <v>695</v>
      </c>
      <c r="J128" s="35">
        <v>50</v>
      </c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1:20" ht="15.75">
      <c r="A129" s="13">
        <v>45413</v>
      </c>
      <c r="B129" s="44">
        <v>31</v>
      </c>
      <c r="C129" s="35">
        <v>194.20500000000001</v>
      </c>
      <c r="D129" s="35">
        <v>267.46600000000001</v>
      </c>
      <c r="E129" s="41">
        <v>812.32899999999995</v>
      </c>
      <c r="F129" s="35">
        <v>1274</v>
      </c>
      <c r="G129" s="35">
        <v>75</v>
      </c>
      <c r="H129" s="43">
        <v>600</v>
      </c>
      <c r="I129" s="35">
        <v>695</v>
      </c>
      <c r="J129" s="35">
        <v>50</v>
      </c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1:20" ht="15.75">
      <c r="A130" s="13">
        <v>45444</v>
      </c>
      <c r="B130" s="44">
        <v>30</v>
      </c>
      <c r="C130" s="35">
        <v>194.20500000000001</v>
      </c>
      <c r="D130" s="35">
        <v>267.46600000000001</v>
      </c>
      <c r="E130" s="41">
        <v>812.32899999999995</v>
      </c>
      <c r="F130" s="35">
        <v>1274</v>
      </c>
      <c r="G130" s="35">
        <v>50</v>
      </c>
      <c r="H130" s="43">
        <v>600</v>
      </c>
      <c r="I130" s="35">
        <v>695</v>
      </c>
      <c r="J130" s="35">
        <v>50</v>
      </c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1:20" ht="15.75">
      <c r="A131" s="13">
        <v>45474</v>
      </c>
      <c r="B131" s="44">
        <v>31</v>
      </c>
      <c r="C131" s="35">
        <v>194.20500000000001</v>
      </c>
      <c r="D131" s="35">
        <v>267.46600000000001</v>
      </c>
      <c r="E131" s="41">
        <v>812.32899999999995</v>
      </c>
      <c r="F131" s="35">
        <v>1274</v>
      </c>
      <c r="G131" s="35">
        <v>50</v>
      </c>
      <c r="H131" s="43">
        <v>600</v>
      </c>
      <c r="I131" s="35">
        <v>695</v>
      </c>
      <c r="J131" s="35">
        <v>0</v>
      </c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1:20" ht="15.75">
      <c r="A132" s="13">
        <v>45505</v>
      </c>
      <c r="B132" s="44">
        <v>31</v>
      </c>
      <c r="C132" s="35">
        <v>194.20500000000001</v>
      </c>
      <c r="D132" s="35">
        <v>267.46600000000001</v>
      </c>
      <c r="E132" s="41">
        <v>812.32899999999995</v>
      </c>
      <c r="F132" s="35">
        <v>1274</v>
      </c>
      <c r="G132" s="35">
        <v>50</v>
      </c>
      <c r="H132" s="43">
        <v>600</v>
      </c>
      <c r="I132" s="35">
        <v>695</v>
      </c>
      <c r="J132" s="35">
        <v>0</v>
      </c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1:20" ht="15.75">
      <c r="A133" s="13">
        <v>45536</v>
      </c>
      <c r="B133" s="44">
        <v>30</v>
      </c>
      <c r="C133" s="35">
        <v>194.20500000000001</v>
      </c>
      <c r="D133" s="35">
        <v>267.46600000000001</v>
      </c>
      <c r="E133" s="41">
        <v>812.32899999999995</v>
      </c>
      <c r="F133" s="35">
        <v>1274</v>
      </c>
      <c r="G133" s="35">
        <v>50</v>
      </c>
      <c r="H133" s="43">
        <v>600</v>
      </c>
      <c r="I133" s="35">
        <v>695</v>
      </c>
      <c r="J133" s="35">
        <v>0</v>
      </c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1:20" ht="15.75">
      <c r="A134" s="13">
        <v>45566</v>
      </c>
      <c r="B134" s="44">
        <v>31</v>
      </c>
      <c r="C134" s="35">
        <v>131.881</v>
      </c>
      <c r="D134" s="35">
        <v>277.16699999999997</v>
      </c>
      <c r="E134" s="41">
        <v>829.952</v>
      </c>
      <c r="F134" s="35">
        <v>1239</v>
      </c>
      <c r="G134" s="35">
        <v>75</v>
      </c>
      <c r="H134" s="43">
        <v>600</v>
      </c>
      <c r="I134" s="35">
        <v>695</v>
      </c>
      <c r="J134" s="35">
        <v>0</v>
      </c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0" ht="15.75">
      <c r="A135" s="13">
        <v>45597</v>
      </c>
      <c r="B135" s="44">
        <v>30</v>
      </c>
      <c r="C135" s="35">
        <v>122.58</v>
      </c>
      <c r="D135" s="35">
        <v>297.94099999999997</v>
      </c>
      <c r="E135" s="41">
        <v>729.47900000000004</v>
      </c>
      <c r="F135" s="35">
        <v>1150</v>
      </c>
      <c r="G135" s="35">
        <v>100</v>
      </c>
      <c r="H135" s="43">
        <v>600</v>
      </c>
      <c r="I135" s="35">
        <v>695</v>
      </c>
      <c r="J135" s="35">
        <v>50</v>
      </c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1:20" ht="15.75">
      <c r="A136" s="13">
        <v>45627</v>
      </c>
      <c r="B136" s="44">
        <v>31</v>
      </c>
      <c r="C136" s="35">
        <v>122.58</v>
      </c>
      <c r="D136" s="35">
        <v>297.94099999999997</v>
      </c>
      <c r="E136" s="41">
        <v>729.47900000000004</v>
      </c>
      <c r="F136" s="35">
        <v>1150</v>
      </c>
      <c r="G136" s="35">
        <v>100</v>
      </c>
      <c r="H136" s="43">
        <v>600</v>
      </c>
      <c r="I136" s="35">
        <v>695</v>
      </c>
      <c r="J136" s="35">
        <v>50</v>
      </c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1:20" ht="15.75">
      <c r="A137" s="13">
        <v>45658</v>
      </c>
      <c r="B137" s="44">
        <v>31</v>
      </c>
      <c r="C137" s="35">
        <v>122.58</v>
      </c>
      <c r="D137" s="35">
        <v>297.94099999999997</v>
      </c>
      <c r="E137" s="41">
        <v>729.47900000000004</v>
      </c>
      <c r="F137" s="35">
        <v>1150</v>
      </c>
      <c r="G137" s="35">
        <v>100</v>
      </c>
      <c r="H137" s="43">
        <v>600</v>
      </c>
      <c r="I137" s="35">
        <v>695</v>
      </c>
      <c r="J137" s="35">
        <v>50</v>
      </c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1:20" ht="15.75">
      <c r="A138" s="13">
        <v>45689</v>
      </c>
      <c r="B138" s="44">
        <v>28</v>
      </c>
      <c r="C138" s="35">
        <v>122.58</v>
      </c>
      <c r="D138" s="35">
        <v>297.94099999999997</v>
      </c>
      <c r="E138" s="41">
        <v>729.47900000000004</v>
      </c>
      <c r="F138" s="35">
        <v>1150</v>
      </c>
      <c r="G138" s="35">
        <v>100</v>
      </c>
      <c r="H138" s="43">
        <v>600</v>
      </c>
      <c r="I138" s="35">
        <v>695</v>
      </c>
      <c r="J138" s="35">
        <v>50</v>
      </c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1:20" ht="15.75">
      <c r="A139" s="13">
        <v>45717</v>
      </c>
      <c r="B139" s="44">
        <v>31</v>
      </c>
      <c r="C139" s="35">
        <v>122.58</v>
      </c>
      <c r="D139" s="35">
        <v>297.94099999999997</v>
      </c>
      <c r="E139" s="41">
        <v>729.47900000000004</v>
      </c>
      <c r="F139" s="35">
        <v>1150</v>
      </c>
      <c r="G139" s="35">
        <v>100</v>
      </c>
      <c r="H139" s="43">
        <v>600</v>
      </c>
      <c r="I139" s="35">
        <v>695</v>
      </c>
      <c r="J139" s="35">
        <v>50</v>
      </c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1:20" ht="15.75">
      <c r="A140" s="13">
        <v>45748</v>
      </c>
      <c r="B140" s="44">
        <v>30</v>
      </c>
      <c r="C140" s="35">
        <v>141.29300000000001</v>
      </c>
      <c r="D140" s="35">
        <v>267.99299999999999</v>
      </c>
      <c r="E140" s="41">
        <v>829.71400000000006</v>
      </c>
      <c r="F140" s="35">
        <v>1239</v>
      </c>
      <c r="G140" s="35">
        <v>100</v>
      </c>
      <c r="H140" s="43">
        <v>600</v>
      </c>
      <c r="I140" s="35">
        <v>695</v>
      </c>
      <c r="J140" s="35">
        <v>50</v>
      </c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1:20" ht="15.75">
      <c r="A141" s="13">
        <v>45778</v>
      </c>
      <c r="B141" s="44">
        <v>31</v>
      </c>
      <c r="C141" s="35">
        <v>194.20500000000001</v>
      </c>
      <c r="D141" s="35">
        <v>267.46600000000001</v>
      </c>
      <c r="E141" s="41">
        <v>812.32899999999995</v>
      </c>
      <c r="F141" s="35">
        <v>1274</v>
      </c>
      <c r="G141" s="35">
        <v>75</v>
      </c>
      <c r="H141" s="43">
        <v>600</v>
      </c>
      <c r="I141" s="35">
        <v>695</v>
      </c>
      <c r="J141" s="35">
        <v>50</v>
      </c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1:20" ht="15.75">
      <c r="A142" s="13">
        <v>45809</v>
      </c>
      <c r="B142" s="44">
        <v>30</v>
      </c>
      <c r="C142" s="35">
        <v>194.20500000000001</v>
      </c>
      <c r="D142" s="35">
        <v>267.46600000000001</v>
      </c>
      <c r="E142" s="41">
        <v>812.32899999999995</v>
      </c>
      <c r="F142" s="35">
        <v>1274</v>
      </c>
      <c r="G142" s="35">
        <v>50</v>
      </c>
      <c r="H142" s="43">
        <v>600</v>
      </c>
      <c r="I142" s="35">
        <v>695</v>
      </c>
      <c r="J142" s="35">
        <v>50</v>
      </c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1:20" ht="15.75">
      <c r="A143" s="13">
        <v>45839</v>
      </c>
      <c r="B143" s="44">
        <v>31</v>
      </c>
      <c r="C143" s="35">
        <v>194.20500000000001</v>
      </c>
      <c r="D143" s="35">
        <v>267.46600000000001</v>
      </c>
      <c r="E143" s="41">
        <v>812.32899999999995</v>
      </c>
      <c r="F143" s="35">
        <v>1274</v>
      </c>
      <c r="G143" s="35">
        <v>50</v>
      </c>
      <c r="H143" s="43">
        <v>600</v>
      </c>
      <c r="I143" s="35">
        <v>695</v>
      </c>
      <c r="J143" s="35">
        <v>0</v>
      </c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1:20" ht="15.75">
      <c r="A144" s="13">
        <v>45870</v>
      </c>
      <c r="B144" s="44">
        <v>31</v>
      </c>
      <c r="C144" s="35">
        <v>194.20500000000001</v>
      </c>
      <c r="D144" s="35">
        <v>267.46600000000001</v>
      </c>
      <c r="E144" s="41">
        <v>812.32899999999995</v>
      </c>
      <c r="F144" s="35">
        <v>1274</v>
      </c>
      <c r="G144" s="35">
        <v>50</v>
      </c>
      <c r="H144" s="43">
        <v>600</v>
      </c>
      <c r="I144" s="35">
        <v>695</v>
      </c>
      <c r="J144" s="35">
        <v>0</v>
      </c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1:20" ht="15.75">
      <c r="A145" s="13">
        <v>45901</v>
      </c>
      <c r="B145" s="44">
        <v>30</v>
      </c>
      <c r="C145" s="35">
        <v>194.20500000000001</v>
      </c>
      <c r="D145" s="35">
        <v>267.46600000000001</v>
      </c>
      <c r="E145" s="41">
        <v>812.32899999999995</v>
      </c>
      <c r="F145" s="35">
        <v>1274</v>
      </c>
      <c r="G145" s="35">
        <v>50</v>
      </c>
      <c r="H145" s="43">
        <v>600</v>
      </c>
      <c r="I145" s="35">
        <v>695</v>
      </c>
      <c r="J145" s="35">
        <v>0</v>
      </c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1:20" ht="15.75">
      <c r="A146" s="13">
        <v>45931</v>
      </c>
      <c r="B146" s="44">
        <v>31</v>
      </c>
      <c r="C146" s="35">
        <v>131.881</v>
      </c>
      <c r="D146" s="35">
        <v>277.16699999999997</v>
      </c>
      <c r="E146" s="41">
        <v>829.952</v>
      </c>
      <c r="F146" s="35">
        <v>1239</v>
      </c>
      <c r="G146" s="35">
        <v>75</v>
      </c>
      <c r="H146" s="43">
        <v>600</v>
      </c>
      <c r="I146" s="35">
        <v>695</v>
      </c>
      <c r="J146" s="35">
        <v>0</v>
      </c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1:20" ht="15.75">
      <c r="A147" s="13">
        <v>45962</v>
      </c>
      <c r="B147" s="44">
        <v>30</v>
      </c>
      <c r="C147" s="35">
        <v>122.58</v>
      </c>
      <c r="D147" s="35">
        <v>297.94099999999997</v>
      </c>
      <c r="E147" s="41">
        <v>729.47900000000004</v>
      </c>
      <c r="F147" s="35">
        <v>1150</v>
      </c>
      <c r="G147" s="35">
        <v>100</v>
      </c>
      <c r="H147" s="43">
        <v>600</v>
      </c>
      <c r="I147" s="35">
        <v>695</v>
      </c>
      <c r="J147" s="35">
        <v>50</v>
      </c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1:20" ht="15.75">
      <c r="A148" s="13">
        <v>45992</v>
      </c>
      <c r="B148" s="44">
        <v>31</v>
      </c>
      <c r="C148" s="35">
        <v>122.58</v>
      </c>
      <c r="D148" s="35">
        <v>297.94099999999997</v>
      </c>
      <c r="E148" s="41">
        <v>729.47900000000004</v>
      </c>
      <c r="F148" s="35">
        <v>1150</v>
      </c>
      <c r="G148" s="35">
        <v>100</v>
      </c>
      <c r="H148" s="43">
        <v>600</v>
      </c>
      <c r="I148" s="35">
        <v>695</v>
      </c>
      <c r="J148" s="35">
        <v>50</v>
      </c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1:20" ht="15.75">
      <c r="A149" s="13">
        <v>46023</v>
      </c>
      <c r="B149" s="44">
        <v>31</v>
      </c>
      <c r="C149" s="35">
        <v>122.58</v>
      </c>
      <c r="D149" s="35">
        <v>297.94099999999997</v>
      </c>
      <c r="E149" s="41">
        <v>729.47900000000004</v>
      </c>
      <c r="F149" s="35">
        <v>1150</v>
      </c>
      <c r="G149" s="35">
        <v>100</v>
      </c>
      <c r="H149" s="43">
        <v>600</v>
      </c>
      <c r="I149" s="35">
        <v>695</v>
      </c>
      <c r="J149" s="35">
        <v>50</v>
      </c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1:20" ht="15.75">
      <c r="A150" s="13">
        <v>46054</v>
      </c>
      <c r="B150" s="44">
        <v>28</v>
      </c>
      <c r="C150" s="35">
        <v>122.58</v>
      </c>
      <c r="D150" s="35">
        <v>297.94099999999997</v>
      </c>
      <c r="E150" s="41">
        <v>729.47900000000004</v>
      </c>
      <c r="F150" s="35">
        <v>1150</v>
      </c>
      <c r="G150" s="35">
        <v>100</v>
      </c>
      <c r="H150" s="43">
        <v>600</v>
      </c>
      <c r="I150" s="35">
        <v>695</v>
      </c>
      <c r="J150" s="35">
        <v>50</v>
      </c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1:20" ht="15.75">
      <c r="A151" s="13">
        <v>46082</v>
      </c>
      <c r="B151" s="44">
        <v>31</v>
      </c>
      <c r="C151" s="35">
        <v>122.58</v>
      </c>
      <c r="D151" s="35">
        <v>297.94099999999997</v>
      </c>
      <c r="E151" s="41">
        <v>729.47900000000004</v>
      </c>
      <c r="F151" s="35">
        <v>1150</v>
      </c>
      <c r="G151" s="35">
        <v>100</v>
      </c>
      <c r="H151" s="43">
        <v>600</v>
      </c>
      <c r="I151" s="35">
        <v>695</v>
      </c>
      <c r="J151" s="35">
        <v>50</v>
      </c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1:20" ht="15.75">
      <c r="A152" s="13">
        <v>46113</v>
      </c>
      <c r="B152" s="44">
        <v>30</v>
      </c>
      <c r="C152" s="35">
        <v>141.29300000000001</v>
      </c>
      <c r="D152" s="35">
        <v>267.99299999999999</v>
      </c>
      <c r="E152" s="41">
        <v>829.71400000000006</v>
      </c>
      <c r="F152" s="35">
        <v>1239</v>
      </c>
      <c r="G152" s="35">
        <v>100</v>
      </c>
      <c r="H152" s="43">
        <v>600</v>
      </c>
      <c r="I152" s="35">
        <v>695</v>
      </c>
      <c r="J152" s="35">
        <v>50</v>
      </c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1:20" ht="15.75">
      <c r="A153" s="13">
        <v>46143</v>
      </c>
      <c r="B153" s="44">
        <v>31</v>
      </c>
      <c r="C153" s="35">
        <v>194.20500000000001</v>
      </c>
      <c r="D153" s="35">
        <v>267.46600000000001</v>
      </c>
      <c r="E153" s="41">
        <v>812.32899999999995</v>
      </c>
      <c r="F153" s="35">
        <v>1274</v>
      </c>
      <c r="G153" s="35">
        <v>75</v>
      </c>
      <c r="H153" s="43">
        <v>600</v>
      </c>
      <c r="I153" s="35">
        <v>695</v>
      </c>
      <c r="J153" s="35">
        <v>50</v>
      </c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1:20" ht="15.75">
      <c r="A154" s="13">
        <v>46174</v>
      </c>
      <c r="B154" s="44">
        <v>30</v>
      </c>
      <c r="C154" s="35">
        <v>194.20500000000001</v>
      </c>
      <c r="D154" s="35">
        <v>267.46600000000001</v>
      </c>
      <c r="E154" s="41">
        <v>812.32899999999995</v>
      </c>
      <c r="F154" s="35">
        <v>1274</v>
      </c>
      <c r="G154" s="35">
        <v>50</v>
      </c>
      <c r="H154" s="43">
        <v>600</v>
      </c>
      <c r="I154" s="35">
        <v>695</v>
      </c>
      <c r="J154" s="35">
        <v>50</v>
      </c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1:20" ht="15.75">
      <c r="A155" s="13">
        <v>46204</v>
      </c>
      <c r="B155" s="44">
        <v>31</v>
      </c>
      <c r="C155" s="35">
        <v>194.20500000000001</v>
      </c>
      <c r="D155" s="35">
        <v>267.46600000000001</v>
      </c>
      <c r="E155" s="41">
        <v>812.32899999999995</v>
      </c>
      <c r="F155" s="35">
        <v>1274</v>
      </c>
      <c r="G155" s="35">
        <v>50</v>
      </c>
      <c r="H155" s="43">
        <v>600</v>
      </c>
      <c r="I155" s="35">
        <v>695</v>
      </c>
      <c r="J155" s="35">
        <v>0</v>
      </c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1:20" ht="15.75">
      <c r="A156" s="13">
        <v>46235</v>
      </c>
      <c r="B156" s="44">
        <v>31</v>
      </c>
      <c r="C156" s="35">
        <v>194.20500000000001</v>
      </c>
      <c r="D156" s="35">
        <v>267.46600000000001</v>
      </c>
      <c r="E156" s="41">
        <v>812.32899999999995</v>
      </c>
      <c r="F156" s="35">
        <v>1274</v>
      </c>
      <c r="G156" s="35">
        <v>50</v>
      </c>
      <c r="H156" s="43">
        <v>600</v>
      </c>
      <c r="I156" s="35">
        <v>695</v>
      </c>
      <c r="J156" s="35">
        <v>0</v>
      </c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1:20" ht="15.75">
      <c r="A157" s="13">
        <v>46266</v>
      </c>
      <c r="B157" s="44">
        <v>30</v>
      </c>
      <c r="C157" s="35">
        <v>194.20500000000001</v>
      </c>
      <c r="D157" s="35">
        <v>267.46600000000001</v>
      </c>
      <c r="E157" s="41">
        <v>812.32899999999995</v>
      </c>
      <c r="F157" s="35">
        <v>1274</v>
      </c>
      <c r="G157" s="35">
        <v>50</v>
      </c>
      <c r="H157" s="43">
        <v>600</v>
      </c>
      <c r="I157" s="35">
        <v>695</v>
      </c>
      <c r="J157" s="35">
        <v>0</v>
      </c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1:20" ht="15.75">
      <c r="A158" s="13">
        <v>46296</v>
      </c>
      <c r="B158" s="44">
        <v>31</v>
      </c>
      <c r="C158" s="35">
        <v>131.881</v>
      </c>
      <c r="D158" s="35">
        <v>277.16699999999997</v>
      </c>
      <c r="E158" s="41">
        <v>829.952</v>
      </c>
      <c r="F158" s="35">
        <v>1239</v>
      </c>
      <c r="G158" s="35">
        <v>75</v>
      </c>
      <c r="H158" s="43">
        <v>600</v>
      </c>
      <c r="I158" s="35">
        <v>695</v>
      </c>
      <c r="J158" s="35">
        <v>0</v>
      </c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1:20" ht="15.75">
      <c r="A159" s="13">
        <v>46327</v>
      </c>
      <c r="B159" s="44">
        <v>30</v>
      </c>
      <c r="C159" s="35">
        <v>122.58</v>
      </c>
      <c r="D159" s="35">
        <v>297.94099999999997</v>
      </c>
      <c r="E159" s="41">
        <v>729.47900000000004</v>
      </c>
      <c r="F159" s="35">
        <v>1150</v>
      </c>
      <c r="G159" s="35">
        <v>100</v>
      </c>
      <c r="H159" s="43">
        <v>600</v>
      </c>
      <c r="I159" s="35">
        <v>695</v>
      </c>
      <c r="J159" s="35">
        <v>50</v>
      </c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1:20" ht="15.75">
      <c r="A160" s="13">
        <v>46357</v>
      </c>
      <c r="B160" s="44">
        <v>31</v>
      </c>
      <c r="C160" s="35">
        <v>122.58</v>
      </c>
      <c r="D160" s="35">
        <v>297.94099999999997</v>
      </c>
      <c r="E160" s="41">
        <v>729.47900000000004</v>
      </c>
      <c r="F160" s="35">
        <v>1150</v>
      </c>
      <c r="G160" s="35">
        <v>100</v>
      </c>
      <c r="H160" s="43">
        <v>600</v>
      </c>
      <c r="I160" s="35">
        <v>695</v>
      </c>
      <c r="J160" s="35">
        <v>50</v>
      </c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1:20" ht="15.75">
      <c r="A161" s="13">
        <v>46388</v>
      </c>
      <c r="B161" s="44">
        <v>31</v>
      </c>
      <c r="C161" s="35">
        <v>122.58</v>
      </c>
      <c r="D161" s="35">
        <v>297.94099999999997</v>
      </c>
      <c r="E161" s="41">
        <v>729.47900000000004</v>
      </c>
      <c r="F161" s="35">
        <v>1150</v>
      </c>
      <c r="G161" s="35">
        <v>100</v>
      </c>
      <c r="H161" s="43">
        <v>600</v>
      </c>
      <c r="I161" s="35">
        <v>695</v>
      </c>
      <c r="J161" s="35">
        <v>50</v>
      </c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 ht="15.75">
      <c r="A162" s="13">
        <v>46419</v>
      </c>
      <c r="B162" s="44">
        <v>28</v>
      </c>
      <c r="C162" s="35">
        <v>122.58</v>
      </c>
      <c r="D162" s="35">
        <v>297.94099999999997</v>
      </c>
      <c r="E162" s="41">
        <v>729.47900000000004</v>
      </c>
      <c r="F162" s="35">
        <v>1150</v>
      </c>
      <c r="G162" s="35">
        <v>100</v>
      </c>
      <c r="H162" s="43">
        <v>600</v>
      </c>
      <c r="I162" s="35">
        <v>695</v>
      </c>
      <c r="J162" s="35">
        <v>50</v>
      </c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1:20" ht="15.75">
      <c r="A163" s="13">
        <v>46447</v>
      </c>
      <c r="B163" s="44">
        <v>31</v>
      </c>
      <c r="C163" s="35">
        <v>122.58</v>
      </c>
      <c r="D163" s="35">
        <v>297.94099999999997</v>
      </c>
      <c r="E163" s="41">
        <v>729.47900000000004</v>
      </c>
      <c r="F163" s="35">
        <v>1150</v>
      </c>
      <c r="G163" s="35">
        <v>100</v>
      </c>
      <c r="H163" s="43">
        <v>600</v>
      </c>
      <c r="I163" s="35">
        <v>695</v>
      </c>
      <c r="J163" s="35">
        <v>50</v>
      </c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1:20" ht="15.75">
      <c r="A164" s="13">
        <v>46478</v>
      </c>
      <c r="B164" s="44">
        <v>30</v>
      </c>
      <c r="C164" s="35">
        <v>141.29300000000001</v>
      </c>
      <c r="D164" s="35">
        <v>267.99299999999999</v>
      </c>
      <c r="E164" s="41">
        <v>829.71400000000006</v>
      </c>
      <c r="F164" s="35">
        <v>1239</v>
      </c>
      <c r="G164" s="35">
        <v>100</v>
      </c>
      <c r="H164" s="43">
        <v>600</v>
      </c>
      <c r="I164" s="35">
        <v>695</v>
      </c>
      <c r="J164" s="35">
        <v>50</v>
      </c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1:20" ht="15.75">
      <c r="A165" s="13">
        <v>46508</v>
      </c>
      <c r="B165" s="44">
        <v>31</v>
      </c>
      <c r="C165" s="35">
        <v>194.20500000000001</v>
      </c>
      <c r="D165" s="35">
        <v>267.46600000000001</v>
      </c>
      <c r="E165" s="41">
        <v>812.32899999999995</v>
      </c>
      <c r="F165" s="35">
        <v>1274</v>
      </c>
      <c r="G165" s="35">
        <v>75</v>
      </c>
      <c r="H165" s="43">
        <v>600</v>
      </c>
      <c r="I165" s="35">
        <v>695</v>
      </c>
      <c r="J165" s="35">
        <v>50</v>
      </c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1:20" ht="15.75">
      <c r="A166" s="13">
        <v>46539</v>
      </c>
      <c r="B166" s="44">
        <v>30</v>
      </c>
      <c r="C166" s="35">
        <v>194.20500000000001</v>
      </c>
      <c r="D166" s="35">
        <v>267.46600000000001</v>
      </c>
      <c r="E166" s="41">
        <v>812.32899999999995</v>
      </c>
      <c r="F166" s="35">
        <v>1274</v>
      </c>
      <c r="G166" s="35">
        <v>50</v>
      </c>
      <c r="H166" s="43">
        <v>600</v>
      </c>
      <c r="I166" s="35">
        <v>695</v>
      </c>
      <c r="J166" s="35">
        <v>50</v>
      </c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1:20" ht="15.75">
      <c r="A167" s="13">
        <v>46569</v>
      </c>
      <c r="B167" s="44">
        <v>31</v>
      </c>
      <c r="C167" s="35">
        <v>194.20500000000001</v>
      </c>
      <c r="D167" s="35">
        <v>267.46600000000001</v>
      </c>
      <c r="E167" s="41">
        <v>812.32899999999995</v>
      </c>
      <c r="F167" s="35">
        <v>1274</v>
      </c>
      <c r="G167" s="35">
        <v>50</v>
      </c>
      <c r="H167" s="43">
        <v>600</v>
      </c>
      <c r="I167" s="35">
        <v>695</v>
      </c>
      <c r="J167" s="35">
        <v>0</v>
      </c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1:20" ht="15.75">
      <c r="A168" s="13">
        <v>46600</v>
      </c>
      <c r="B168" s="44">
        <v>31</v>
      </c>
      <c r="C168" s="35">
        <v>194.20500000000001</v>
      </c>
      <c r="D168" s="35">
        <v>267.46600000000001</v>
      </c>
      <c r="E168" s="41">
        <v>812.32899999999995</v>
      </c>
      <c r="F168" s="35">
        <v>1274</v>
      </c>
      <c r="G168" s="35">
        <v>50</v>
      </c>
      <c r="H168" s="43">
        <v>600</v>
      </c>
      <c r="I168" s="35">
        <v>695</v>
      </c>
      <c r="J168" s="35">
        <v>0</v>
      </c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1:20" ht="15.75">
      <c r="A169" s="13">
        <v>46631</v>
      </c>
      <c r="B169" s="44">
        <v>30</v>
      </c>
      <c r="C169" s="35">
        <v>194.20500000000001</v>
      </c>
      <c r="D169" s="35">
        <v>267.46600000000001</v>
      </c>
      <c r="E169" s="41">
        <v>812.32899999999995</v>
      </c>
      <c r="F169" s="35">
        <v>1274</v>
      </c>
      <c r="G169" s="35">
        <v>50</v>
      </c>
      <c r="H169" s="43">
        <v>600</v>
      </c>
      <c r="I169" s="35">
        <v>695</v>
      </c>
      <c r="J169" s="35">
        <v>0</v>
      </c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1:20" ht="15.75">
      <c r="A170" s="13">
        <v>46661</v>
      </c>
      <c r="B170" s="44">
        <v>31</v>
      </c>
      <c r="C170" s="35">
        <v>131.881</v>
      </c>
      <c r="D170" s="35">
        <v>277.16699999999997</v>
      </c>
      <c r="E170" s="41">
        <v>829.952</v>
      </c>
      <c r="F170" s="35">
        <v>1239</v>
      </c>
      <c r="G170" s="35">
        <v>75</v>
      </c>
      <c r="H170" s="43">
        <v>600</v>
      </c>
      <c r="I170" s="35">
        <v>695</v>
      </c>
      <c r="J170" s="35">
        <v>0</v>
      </c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1:20" ht="15.75">
      <c r="A171" s="13">
        <v>46692</v>
      </c>
      <c r="B171" s="44">
        <v>30</v>
      </c>
      <c r="C171" s="35">
        <v>122.58</v>
      </c>
      <c r="D171" s="35">
        <v>297.94099999999997</v>
      </c>
      <c r="E171" s="41">
        <v>729.47900000000004</v>
      </c>
      <c r="F171" s="35">
        <v>1150</v>
      </c>
      <c r="G171" s="35">
        <v>100</v>
      </c>
      <c r="H171" s="43">
        <v>600</v>
      </c>
      <c r="I171" s="35">
        <v>695</v>
      </c>
      <c r="J171" s="35">
        <v>50</v>
      </c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1:20" ht="15.75">
      <c r="A172" s="13">
        <v>46722</v>
      </c>
      <c r="B172" s="44">
        <v>31</v>
      </c>
      <c r="C172" s="35">
        <v>122.58</v>
      </c>
      <c r="D172" s="35">
        <v>297.94099999999997</v>
      </c>
      <c r="E172" s="41">
        <v>729.47900000000004</v>
      </c>
      <c r="F172" s="35">
        <v>1150</v>
      </c>
      <c r="G172" s="35">
        <v>100</v>
      </c>
      <c r="H172" s="43">
        <v>600</v>
      </c>
      <c r="I172" s="35">
        <v>695</v>
      </c>
      <c r="J172" s="35">
        <v>50</v>
      </c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1:20" ht="15.75">
      <c r="A173" s="13">
        <v>46753</v>
      </c>
      <c r="B173" s="44">
        <v>31</v>
      </c>
      <c r="C173" s="35">
        <v>122.58</v>
      </c>
      <c r="D173" s="35">
        <v>297.94099999999997</v>
      </c>
      <c r="E173" s="41">
        <v>729.47900000000004</v>
      </c>
      <c r="F173" s="35">
        <v>1150</v>
      </c>
      <c r="G173" s="35">
        <v>100</v>
      </c>
      <c r="H173" s="43">
        <v>600</v>
      </c>
      <c r="I173" s="35">
        <v>695</v>
      </c>
      <c r="J173" s="35">
        <v>50</v>
      </c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1:20" ht="15.75">
      <c r="A174" s="13">
        <v>46784</v>
      </c>
      <c r="B174" s="44">
        <v>29</v>
      </c>
      <c r="C174" s="35">
        <v>122.58</v>
      </c>
      <c r="D174" s="35">
        <v>297.94099999999997</v>
      </c>
      <c r="E174" s="41">
        <v>729.47900000000004</v>
      </c>
      <c r="F174" s="35">
        <v>1150</v>
      </c>
      <c r="G174" s="35">
        <v>100</v>
      </c>
      <c r="H174" s="43">
        <v>600</v>
      </c>
      <c r="I174" s="35">
        <v>695</v>
      </c>
      <c r="J174" s="35">
        <v>50</v>
      </c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1:20" ht="15.75">
      <c r="A175" s="13">
        <v>46813</v>
      </c>
      <c r="B175" s="44">
        <v>31</v>
      </c>
      <c r="C175" s="35">
        <v>122.58</v>
      </c>
      <c r="D175" s="35">
        <v>297.94099999999997</v>
      </c>
      <c r="E175" s="41">
        <v>729.47900000000004</v>
      </c>
      <c r="F175" s="35">
        <v>1150</v>
      </c>
      <c r="G175" s="35">
        <v>100</v>
      </c>
      <c r="H175" s="43">
        <v>600</v>
      </c>
      <c r="I175" s="35">
        <v>695</v>
      </c>
      <c r="J175" s="35">
        <v>50</v>
      </c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1:20" ht="15.75">
      <c r="A176" s="13">
        <v>46844</v>
      </c>
      <c r="B176" s="44">
        <v>30</v>
      </c>
      <c r="C176" s="35">
        <v>141.29300000000001</v>
      </c>
      <c r="D176" s="35">
        <v>267.99299999999999</v>
      </c>
      <c r="E176" s="41">
        <v>829.71400000000006</v>
      </c>
      <c r="F176" s="35">
        <v>1239</v>
      </c>
      <c r="G176" s="35">
        <v>100</v>
      </c>
      <c r="H176" s="43">
        <v>600</v>
      </c>
      <c r="I176" s="35">
        <v>695</v>
      </c>
      <c r="J176" s="35">
        <v>50</v>
      </c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1:20" ht="15.75">
      <c r="A177" s="13">
        <v>46874</v>
      </c>
      <c r="B177" s="44">
        <v>31</v>
      </c>
      <c r="C177" s="35">
        <v>194.20500000000001</v>
      </c>
      <c r="D177" s="35">
        <v>267.46600000000001</v>
      </c>
      <c r="E177" s="41">
        <v>812.32899999999995</v>
      </c>
      <c r="F177" s="35">
        <v>1274</v>
      </c>
      <c r="G177" s="35">
        <v>75</v>
      </c>
      <c r="H177" s="43">
        <v>600</v>
      </c>
      <c r="I177" s="35">
        <v>695</v>
      </c>
      <c r="J177" s="35">
        <v>50</v>
      </c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1:20" ht="15.75">
      <c r="A178" s="13">
        <v>46905</v>
      </c>
      <c r="B178" s="44">
        <v>30</v>
      </c>
      <c r="C178" s="35">
        <v>194.20500000000001</v>
      </c>
      <c r="D178" s="35">
        <v>267.46600000000001</v>
      </c>
      <c r="E178" s="41">
        <v>812.32899999999995</v>
      </c>
      <c r="F178" s="35">
        <v>1274</v>
      </c>
      <c r="G178" s="35">
        <v>50</v>
      </c>
      <c r="H178" s="43">
        <v>600</v>
      </c>
      <c r="I178" s="35">
        <v>695</v>
      </c>
      <c r="J178" s="35">
        <v>50</v>
      </c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1:20" ht="15.75">
      <c r="A179" s="13">
        <v>46935</v>
      </c>
      <c r="B179" s="44">
        <v>31</v>
      </c>
      <c r="C179" s="35">
        <v>194.20500000000001</v>
      </c>
      <c r="D179" s="35">
        <v>267.46600000000001</v>
      </c>
      <c r="E179" s="41">
        <v>812.32899999999995</v>
      </c>
      <c r="F179" s="35">
        <v>1274</v>
      </c>
      <c r="G179" s="35">
        <v>50</v>
      </c>
      <c r="H179" s="43">
        <v>600</v>
      </c>
      <c r="I179" s="35">
        <v>695</v>
      </c>
      <c r="J179" s="35">
        <v>0</v>
      </c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1:20" ht="15.75">
      <c r="A180" s="13">
        <v>46966</v>
      </c>
      <c r="B180" s="44">
        <v>31</v>
      </c>
      <c r="C180" s="35">
        <v>194.20500000000001</v>
      </c>
      <c r="D180" s="35">
        <v>267.46600000000001</v>
      </c>
      <c r="E180" s="41">
        <v>812.32899999999995</v>
      </c>
      <c r="F180" s="35">
        <v>1274</v>
      </c>
      <c r="G180" s="35">
        <v>50</v>
      </c>
      <c r="H180" s="43">
        <v>600</v>
      </c>
      <c r="I180" s="35">
        <v>695</v>
      </c>
      <c r="J180" s="35">
        <v>0</v>
      </c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1:20" ht="15.75">
      <c r="A181" s="13">
        <v>46997</v>
      </c>
      <c r="B181" s="44">
        <v>30</v>
      </c>
      <c r="C181" s="35">
        <v>194.20500000000001</v>
      </c>
      <c r="D181" s="35">
        <v>267.46600000000001</v>
      </c>
      <c r="E181" s="41">
        <v>812.32899999999995</v>
      </c>
      <c r="F181" s="35">
        <v>1274</v>
      </c>
      <c r="G181" s="35">
        <v>50</v>
      </c>
      <c r="H181" s="43">
        <v>600</v>
      </c>
      <c r="I181" s="35">
        <v>695</v>
      </c>
      <c r="J181" s="35">
        <v>0</v>
      </c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1:20" ht="15.75">
      <c r="A182" s="13">
        <v>47027</v>
      </c>
      <c r="B182" s="44">
        <v>31</v>
      </c>
      <c r="C182" s="35">
        <v>131.881</v>
      </c>
      <c r="D182" s="35">
        <v>277.16699999999997</v>
      </c>
      <c r="E182" s="41">
        <v>829.952</v>
      </c>
      <c r="F182" s="35">
        <v>1239</v>
      </c>
      <c r="G182" s="35">
        <v>75</v>
      </c>
      <c r="H182" s="43">
        <v>600</v>
      </c>
      <c r="I182" s="35">
        <v>695</v>
      </c>
      <c r="J182" s="35">
        <v>0</v>
      </c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1:20" ht="15.75">
      <c r="A183" s="13">
        <v>47058</v>
      </c>
      <c r="B183" s="44">
        <v>30</v>
      </c>
      <c r="C183" s="35">
        <v>122.58</v>
      </c>
      <c r="D183" s="35">
        <v>297.94099999999997</v>
      </c>
      <c r="E183" s="41">
        <v>729.47900000000004</v>
      </c>
      <c r="F183" s="35">
        <v>1150</v>
      </c>
      <c r="G183" s="35">
        <v>100</v>
      </c>
      <c r="H183" s="43">
        <v>600</v>
      </c>
      <c r="I183" s="35">
        <v>695</v>
      </c>
      <c r="J183" s="35">
        <v>50</v>
      </c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1:20" ht="15.75">
      <c r="A184" s="13">
        <v>47088</v>
      </c>
      <c r="B184" s="44">
        <v>31</v>
      </c>
      <c r="C184" s="35">
        <v>122.58</v>
      </c>
      <c r="D184" s="35">
        <v>297.94099999999997</v>
      </c>
      <c r="E184" s="41">
        <v>729.47900000000004</v>
      </c>
      <c r="F184" s="35">
        <v>1150</v>
      </c>
      <c r="G184" s="35">
        <v>100</v>
      </c>
      <c r="H184" s="43">
        <v>600</v>
      </c>
      <c r="I184" s="35">
        <v>695</v>
      </c>
      <c r="J184" s="35">
        <v>50</v>
      </c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1:20" ht="15.75">
      <c r="A185" s="13">
        <v>47119</v>
      </c>
      <c r="B185" s="44">
        <v>31</v>
      </c>
      <c r="C185" s="35">
        <v>122.58</v>
      </c>
      <c r="D185" s="35">
        <v>297.94099999999997</v>
      </c>
      <c r="E185" s="41">
        <v>729.47900000000004</v>
      </c>
      <c r="F185" s="35">
        <v>1150</v>
      </c>
      <c r="G185" s="35">
        <v>100</v>
      </c>
      <c r="H185" s="43">
        <v>600</v>
      </c>
      <c r="I185" s="35">
        <v>695</v>
      </c>
      <c r="J185" s="35">
        <v>50</v>
      </c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1:20" ht="15.75">
      <c r="A186" s="13">
        <v>47150</v>
      </c>
      <c r="B186" s="44">
        <v>28</v>
      </c>
      <c r="C186" s="35">
        <v>122.58</v>
      </c>
      <c r="D186" s="35">
        <v>297.94099999999997</v>
      </c>
      <c r="E186" s="41">
        <v>729.47900000000004</v>
      </c>
      <c r="F186" s="35">
        <v>1150</v>
      </c>
      <c r="G186" s="35">
        <v>100</v>
      </c>
      <c r="H186" s="43">
        <v>600</v>
      </c>
      <c r="I186" s="35">
        <v>695</v>
      </c>
      <c r="J186" s="35">
        <v>50</v>
      </c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1:20" ht="15.75">
      <c r="A187" s="13">
        <v>47178</v>
      </c>
      <c r="B187" s="44">
        <v>31</v>
      </c>
      <c r="C187" s="35">
        <v>122.58</v>
      </c>
      <c r="D187" s="35">
        <v>297.94099999999997</v>
      </c>
      <c r="E187" s="41">
        <v>729.47900000000004</v>
      </c>
      <c r="F187" s="35">
        <v>1150</v>
      </c>
      <c r="G187" s="35">
        <v>100</v>
      </c>
      <c r="H187" s="43">
        <v>600</v>
      </c>
      <c r="I187" s="35">
        <v>695</v>
      </c>
      <c r="J187" s="35">
        <v>50</v>
      </c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1:20" ht="15.75">
      <c r="A188" s="13">
        <v>47209</v>
      </c>
      <c r="B188" s="44">
        <v>30</v>
      </c>
      <c r="C188" s="35">
        <v>141.29300000000001</v>
      </c>
      <c r="D188" s="35">
        <v>267.99299999999999</v>
      </c>
      <c r="E188" s="41">
        <v>829.71400000000006</v>
      </c>
      <c r="F188" s="35">
        <v>1239</v>
      </c>
      <c r="G188" s="35">
        <v>100</v>
      </c>
      <c r="H188" s="43">
        <v>600</v>
      </c>
      <c r="I188" s="35">
        <v>695</v>
      </c>
      <c r="J188" s="35">
        <v>50</v>
      </c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 ht="15.75">
      <c r="A189" s="13">
        <v>47239</v>
      </c>
      <c r="B189" s="44">
        <v>31</v>
      </c>
      <c r="C189" s="35">
        <v>194.20500000000001</v>
      </c>
      <c r="D189" s="35">
        <v>267.46600000000001</v>
      </c>
      <c r="E189" s="41">
        <v>812.32899999999995</v>
      </c>
      <c r="F189" s="35">
        <v>1274</v>
      </c>
      <c r="G189" s="35">
        <v>75</v>
      </c>
      <c r="H189" s="43">
        <v>600</v>
      </c>
      <c r="I189" s="35">
        <v>695</v>
      </c>
      <c r="J189" s="35">
        <v>50</v>
      </c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1:20" ht="15.75">
      <c r="A190" s="13">
        <v>47270</v>
      </c>
      <c r="B190" s="44">
        <v>30</v>
      </c>
      <c r="C190" s="35">
        <v>194.20500000000001</v>
      </c>
      <c r="D190" s="35">
        <v>267.46600000000001</v>
      </c>
      <c r="E190" s="41">
        <v>812.32899999999995</v>
      </c>
      <c r="F190" s="35">
        <v>1274</v>
      </c>
      <c r="G190" s="35">
        <v>50</v>
      </c>
      <c r="H190" s="43">
        <v>600</v>
      </c>
      <c r="I190" s="35">
        <v>695</v>
      </c>
      <c r="J190" s="35">
        <v>50</v>
      </c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1:20" ht="15.75">
      <c r="A191" s="13">
        <v>47300</v>
      </c>
      <c r="B191" s="44">
        <v>31</v>
      </c>
      <c r="C191" s="35">
        <v>194.20500000000001</v>
      </c>
      <c r="D191" s="35">
        <v>267.46600000000001</v>
      </c>
      <c r="E191" s="41">
        <v>812.32899999999995</v>
      </c>
      <c r="F191" s="35">
        <v>1274</v>
      </c>
      <c r="G191" s="35">
        <v>50</v>
      </c>
      <c r="H191" s="43">
        <v>600</v>
      </c>
      <c r="I191" s="35">
        <v>695</v>
      </c>
      <c r="J191" s="35">
        <v>0</v>
      </c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1:20" ht="15.75">
      <c r="A192" s="13">
        <v>47331</v>
      </c>
      <c r="B192" s="44">
        <v>31</v>
      </c>
      <c r="C192" s="35">
        <v>194.20500000000001</v>
      </c>
      <c r="D192" s="35">
        <v>267.46600000000001</v>
      </c>
      <c r="E192" s="41">
        <v>812.32899999999995</v>
      </c>
      <c r="F192" s="35">
        <v>1274</v>
      </c>
      <c r="G192" s="35">
        <v>50</v>
      </c>
      <c r="H192" s="43">
        <v>600</v>
      </c>
      <c r="I192" s="35">
        <v>695</v>
      </c>
      <c r="J192" s="35">
        <v>0</v>
      </c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1:20" ht="15.75">
      <c r="A193" s="13">
        <v>47362</v>
      </c>
      <c r="B193" s="44">
        <v>30</v>
      </c>
      <c r="C193" s="35">
        <v>194.20500000000001</v>
      </c>
      <c r="D193" s="35">
        <v>267.46600000000001</v>
      </c>
      <c r="E193" s="41">
        <v>812.32899999999995</v>
      </c>
      <c r="F193" s="35">
        <v>1274</v>
      </c>
      <c r="G193" s="35">
        <v>50</v>
      </c>
      <c r="H193" s="43">
        <v>600</v>
      </c>
      <c r="I193" s="35">
        <v>695</v>
      </c>
      <c r="J193" s="35">
        <v>0</v>
      </c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1:20" ht="15.75">
      <c r="A194" s="13">
        <v>47392</v>
      </c>
      <c r="B194" s="44">
        <v>31</v>
      </c>
      <c r="C194" s="35">
        <v>131.881</v>
      </c>
      <c r="D194" s="35">
        <v>277.16699999999997</v>
      </c>
      <c r="E194" s="41">
        <v>829.952</v>
      </c>
      <c r="F194" s="35">
        <v>1239</v>
      </c>
      <c r="G194" s="35">
        <v>75</v>
      </c>
      <c r="H194" s="43">
        <v>600</v>
      </c>
      <c r="I194" s="35">
        <v>695</v>
      </c>
      <c r="J194" s="35">
        <v>0</v>
      </c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1:20" ht="15.75">
      <c r="A195" s="13">
        <v>47423</v>
      </c>
      <c r="B195" s="44">
        <v>30</v>
      </c>
      <c r="C195" s="35">
        <v>122.58</v>
      </c>
      <c r="D195" s="35">
        <v>297.94099999999997</v>
      </c>
      <c r="E195" s="41">
        <v>729.47900000000004</v>
      </c>
      <c r="F195" s="35">
        <v>1150</v>
      </c>
      <c r="G195" s="35">
        <v>100</v>
      </c>
      <c r="H195" s="43">
        <v>600</v>
      </c>
      <c r="I195" s="35">
        <v>695</v>
      </c>
      <c r="J195" s="35">
        <v>50</v>
      </c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1:20" ht="15.75">
      <c r="A196" s="13">
        <v>47453</v>
      </c>
      <c r="B196" s="44">
        <v>31</v>
      </c>
      <c r="C196" s="35">
        <v>122.58</v>
      </c>
      <c r="D196" s="35">
        <v>297.94099999999997</v>
      </c>
      <c r="E196" s="41">
        <v>729.47900000000004</v>
      </c>
      <c r="F196" s="35">
        <v>1150</v>
      </c>
      <c r="G196" s="35">
        <v>100</v>
      </c>
      <c r="H196" s="43">
        <v>600</v>
      </c>
      <c r="I196" s="35">
        <v>695</v>
      </c>
      <c r="J196" s="35">
        <v>50</v>
      </c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1:20" ht="15.75">
      <c r="A197" s="13">
        <v>47484</v>
      </c>
      <c r="B197" s="44">
        <v>31</v>
      </c>
      <c r="C197" s="35">
        <v>122.58</v>
      </c>
      <c r="D197" s="35">
        <v>297.94099999999997</v>
      </c>
      <c r="E197" s="41">
        <v>729.47900000000004</v>
      </c>
      <c r="F197" s="35">
        <v>1150</v>
      </c>
      <c r="G197" s="35">
        <v>100</v>
      </c>
      <c r="H197" s="43">
        <v>600</v>
      </c>
      <c r="I197" s="35">
        <v>695</v>
      </c>
      <c r="J197" s="35">
        <v>50</v>
      </c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1:20" ht="15.75">
      <c r="A198" s="13">
        <v>47515</v>
      </c>
      <c r="B198" s="44">
        <v>28</v>
      </c>
      <c r="C198" s="35">
        <v>122.58</v>
      </c>
      <c r="D198" s="35">
        <v>297.94099999999997</v>
      </c>
      <c r="E198" s="41">
        <v>729.47900000000004</v>
      </c>
      <c r="F198" s="35">
        <v>1150</v>
      </c>
      <c r="G198" s="35">
        <v>100</v>
      </c>
      <c r="H198" s="43">
        <v>600</v>
      </c>
      <c r="I198" s="35">
        <v>695</v>
      </c>
      <c r="J198" s="35">
        <v>50</v>
      </c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1:20" ht="15.75">
      <c r="A199" s="13">
        <v>47543</v>
      </c>
      <c r="B199" s="44">
        <v>31</v>
      </c>
      <c r="C199" s="35">
        <v>122.58</v>
      </c>
      <c r="D199" s="35">
        <v>297.94099999999997</v>
      </c>
      <c r="E199" s="41">
        <v>729.47900000000004</v>
      </c>
      <c r="F199" s="35">
        <v>1150</v>
      </c>
      <c r="G199" s="35">
        <v>100</v>
      </c>
      <c r="H199" s="43">
        <v>600</v>
      </c>
      <c r="I199" s="35">
        <v>695</v>
      </c>
      <c r="J199" s="35">
        <v>50</v>
      </c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1:20" ht="15.75">
      <c r="A200" s="13">
        <v>47574</v>
      </c>
      <c r="B200" s="44">
        <v>30</v>
      </c>
      <c r="C200" s="35">
        <v>141.29300000000001</v>
      </c>
      <c r="D200" s="35">
        <v>267.99299999999999</v>
      </c>
      <c r="E200" s="41">
        <v>829.71400000000006</v>
      </c>
      <c r="F200" s="35">
        <v>1239</v>
      </c>
      <c r="G200" s="35">
        <v>100</v>
      </c>
      <c r="H200" s="43">
        <v>600</v>
      </c>
      <c r="I200" s="35">
        <v>695</v>
      </c>
      <c r="J200" s="35">
        <v>50</v>
      </c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  <row r="201" spans="1:20" ht="15.75">
      <c r="A201" s="13">
        <v>47604</v>
      </c>
      <c r="B201" s="44">
        <v>31</v>
      </c>
      <c r="C201" s="35">
        <v>194.20500000000001</v>
      </c>
      <c r="D201" s="35">
        <v>267.46600000000001</v>
      </c>
      <c r="E201" s="41">
        <v>812.32899999999995</v>
      </c>
      <c r="F201" s="35">
        <v>1274</v>
      </c>
      <c r="G201" s="35">
        <v>75</v>
      </c>
      <c r="H201" s="43">
        <v>600</v>
      </c>
      <c r="I201" s="35">
        <v>695</v>
      </c>
      <c r="J201" s="35">
        <v>50</v>
      </c>
      <c r="K201" s="36"/>
      <c r="L201" s="36"/>
      <c r="M201" s="36"/>
      <c r="N201" s="36"/>
      <c r="O201" s="36"/>
      <c r="P201" s="36"/>
      <c r="Q201" s="36"/>
      <c r="R201" s="36"/>
      <c r="S201" s="36"/>
      <c r="T201" s="36"/>
    </row>
    <row r="202" spans="1:20" ht="15.75">
      <c r="A202" s="13">
        <v>47635</v>
      </c>
      <c r="B202" s="44">
        <v>30</v>
      </c>
      <c r="C202" s="35">
        <v>194.20500000000001</v>
      </c>
      <c r="D202" s="35">
        <v>267.46600000000001</v>
      </c>
      <c r="E202" s="41">
        <v>812.32899999999995</v>
      </c>
      <c r="F202" s="35">
        <v>1274</v>
      </c>
      <c r="G202" s="35">
        <v>50</v>
      </c>
      <c r="H202" s="43">
        <v>600</v>
      </c>
      <c r="I202" s="35">
        <v>695</v>
      </c>
      <c r="J202" s="35">
        <v>50</v>
      </c>
      <c r="K202" s="36"/>
      <c r="L202" s="36"/>
      <c r="M202" s="36"/>
      <c r="N202" s="36"/>
      <c r="O202" s="36"/>
      <c r="P202" s="36"/>
      <c r="Q202" s="36"/>
      <c r="R202" s="36"/>
      <c r="S202" s="36"/>
      <c r="T202" s="36"/>
    </row>
    <row r="203" spans="1:20" ht="15.75">
      <c r="A203" s="13">
        <v>47665</v>
      </c>
      <c r="B203" s="44">
        <v>31</v>
      </c>
      <c r="C203" s="35">
        <v>194.20500000000001</v>
      </c>
      <c r="D203" s="35">
        <v>267.46600000000001</v>
      </c>
      <c r="E203" s="41">
        <v>812.32899999999995</v>
      </c>
      <c r="F203" s="35">
        <v>1274</v>
      </c>
      <c r="G203" s="35">
        <v>50</v>
      </c>
      <c r="H203" s="43">
        <v>600</v>
      </c>
      <c r="I203" s="35">
        <v>695</v>
      </c>
      <c r="J203" s="35">
        <v>0</v>
      </c>
      <c r="K203" s="36"/>
      <c r="L203" s="36"/>
      <c r="M203" s="36"/>
      <c r="N203" s="36"/>
      <c r="O203" s="36"/>
      <c r="P203" s="36"/>
      <c r="Q203" s="36"/>
      <c r="R203" s="36"/>
      <c r="S203" s="36"/>
      <c r="T203" s="36"/>
    </row>
    <row r="204" spans="1:20" ht="15.75">
      <c r="A204" s="13">
        <v>47696</v>
      </c>
      <c r="B204" s="44">
        <v>31</v>
      </c>
      <c r="C204" s="35">
        <v>194.20500000000001</v>
      </c>
      <c r="D204" s="35">
        <v>267.46600000000001</v>
      </c>
      <c r="E204" s="41">
        <v>812.32899999999995</v>
      </c>
      <c r="F204" s="35">
        <v>1274</v>
      </c>
      <c r="G204" s="35">
        <v>50</v>
      </c>
      <c r="H204" s="43">
        <v>600</v>
      </c>
      <c r="I204" s="35">
        <v>695</v>
      </c>
      <c r="J204" s="35">
        <v>0</v>
      </c>
      <c r="K204" s="36"/>
      <c r="L204" s="36"/>
      <c r="M204" s="36"/>
      <c r="N204" s="36"/>
      <c r="O204" s="36"/>
      <c r="P204" s="36"/>
      <c r="Q204" s="36"/>
      <c r="R204" s="36"/>
      <c r="S204" s="36"/>
      <c r="T204" s="36"/>
    </row>
    <row r="205" spans="1:20" ht="15.75">
      <c r="A205" s="13">
        <v>47727</v>
      </c>
      <c r="B205" s="44">
        <v>30</v>
      </c>
      <c r="C205" s="35">
        <v>194.20500000000001</v>
      </c>
      <c r="D205" s="35">
        <v>267.46600000000001</v>
      </c>
      <c r="E205" s="41">
        <v>812.32899999999995</v>
      </c>
      <c r="F205" s="35">
        <v>1274</v>
      </c>
      <c r="G205" s="35">
        <v>50</v>
      </c>
      <c r="H205" s="43">
        <v>600</v>
      </c>
      <c r="I205" s="35">
        <v>695</v>
      </c>
      <c r="J205" s="35">
        <v>0</v>
      </c>
      <c r="K205" s="36"/>
      <c r="L205" s="36"/>
      <c r="M205" s="36"/>
      <c r="N205" s="36"/>
      <c r="O205" s="36"/>
      <c r="P205" s="36"/>
      <c r="Q205" s="36"/>
      <c r="R205" s="36"/>
      <c r="S205" s="36"/>
      <c r="T205" s="36"/>
    </row>
    <row r="206" spans="1:20" ht="15.75">
      <c r="A206" s="13">
        <v>47757</v>
      </c>
      <c r="B206" s="44">
        <v>31</v>
      </c>
      <c r="C206" s="35">
        <v>131.881</v>
      </c>
      <c r="D206" s="35">
        <v>277.16699999999997</v>
      </c>
      <c r="E206" s="41">
        <v>829.952</v>
      </c>
      <c r="F206" s="35">
        <v>1239</v>
      </c>
      <c r="G206" s="35">
        <v>75</v>
      </c>
      <c r="H206" s="43">
        <v>600</v>
      </c>
      <c r="I206" s="35">
        <v>695</v>
      </c>
      <c r="J206" s="35">
        <v>0</v>
      </c>
      <c r="K206" s="36"/>
      <c r="L206" s="36"/>
      <c r="M206" s="36"/>
      <c r="N206" s="36"/>
      <c r="O206" s="36"/>
      <c r="P206" s="36"/>
      <c r="Q206" s="36"/>
      <c r="R206" s="36"/>
      <c r="S206" s="36"/>
      <c r="T206" s="36"/>
    </row>
    <row r="207" spans="1:20" ht="15.75">
      <c r="A207" s="13">
        <v>47788</v>
      </c>
      <c r="B207" s="44">
        <v>30</v>
      </c>
      <c r="C207" s="35">
        <v>122.58</v>
      </c>
      <c r="D207" s="35">
        <v>297.94099999999997</v>
      </c>
      <c r="E207" s="41">
        <v>729.47900000000004</v>
      </c>
      <c r="F207" s="35">
        <v>1150</v>
      </c>
      <c r="G207" s="35">
        <v>100</v>
      </c>
      <c r="H207" s="43">
        <v>600</v>
      </c>
      <c r="I207" s="35">
        <v>695</v>
      </c>
      <c r="J207" s="35">
        <v>50</v>
      </c>
      <c r="K207" s="36"/>
      <c r="L207" s="36"/>
      <c r="M207" s="36"/>
      <c r="N207" s="36"/>
      <c r="O207" s="36"/>
      <c r="P207" s="36"/>
      <c r="Q207" s="36"/>
      <c r="R207" s="36"/>
      <c r="S207" s="36"/>
      <c r="T207" s="36"/>
    </row>
    <row r="208" spans="1:20" ht="15.75">
      <c r="A208" s="13">
        <v>47818</v>
      </c>
      <c r="B208" s="44">
        <v>31</v>
      </c>
      <c r="C208" s="35">
        <v>122.58</v>
      </c>
      <c r="D208" s="35">
        <v>297.94099999999997</v>
      </c>
      <c r="E208" s="41">
        <v>729.47900000000004</v>
      </c>
      <c r="F208" s="35">
        <v>1150</v>
      </c>
      <c r="G208" s="35">
        <v>100</v>
      </c>
      <c r="H208" s="43">
        <v>600</v>
      </c>
      <c r="I208" s="35">
        <v>695</v>
      </c>
      <c r="J208" s="35">
        <v>50</v>
      </c>
      <c r="K208" s="36"/>
      <c r="L208" s="36"/>
      <c r="M208" s="36"/>
      <c r="N208" s="36"/>
      <c r="O208" s="36"/>
      <c r="P208" s="36"/>
      <c r="Q208" s="36"/>
      <c r="R208" s="36"/>
      <c r="S208" s="36"/>
      <c r="T208" s="36"/>
    </row>
    <row r="209" spans="1:20" ht="15.75">
      <c r="A209" s="13">
        <v>47849</v>
      </c>
      <c r="B209" s="44">
        <v>31</v>
      </c>
      <c r="C209" s="35">
        <v>122.58</v>
      </c>
      <c r="D209" s="35">
        <v>297.94099999999997</v>
      </c>
      <c r="E209" s="41">
        <v>729.47900000000004</v>
      </c>
      <c r="F209" s="35">
        <v>1150</v>
      </c>
      <c r="G209" s="35">
        <v>100</v>
      </c>
      <c r="H209" s="43">
        <v>600</v>
      </c>
      <c r="I209" s="35">
        <v>695</v>
      </c>
      <c r="J209" s="35">
        <v>50</v>
      </c>
      <c r="K209" s="36"/>
      <c r="L209" s="36"/>
      <c r="M209" s="36"/>
      <c r="N209" s="36"/>
      <c r="O209" s="36"/>
      <c r="P209" s="36"/>
      <c r="Q209" s="36"/>
      <c r="R209" s="36"/>
      <c r="S209" s="36"/>
      <c r="T209" s="36"/>
    </row>
    <row r="210" spans="1:20" ht="15.75">
      <c r="A210" s="13">
        <v>47880</v>
      </c>
      <c r="B210" s="44">
        <v>28</v>
      </c>
      <c r="C210" s="35">
        <v>122.58</v>
      </c>
      <c r="D210" s="35">
        <v>297.94099999999997</v>
      </c>
      <c r="E210" s="41">
        <v>729.47900000000004</v>
      </c>
      <c r="F210" s="35">
        <v>1150</v>
      </c>
      <c r="G210" s="35">
        <v>100</v>
      </c>
      <c r="H210" s="43">
        <v>600</v>
      </c>
      <c r="I210" s="35">
        <v>695</v>
      </c>
      <c r="J210" s="35">
        <v>50</v>
      </c>
      <c r="K210" s="36"/>
      <c r="L210" s="36"/>
      <c r="M210" s="36"/>
      <c r="N210" s="36"/>
      <c r="O210" s="36"/>
      <c r="P210" s="36"/>
      <c r="Q210" s="36"/>
      <c r="R210" s="36"/>
      <c r="S210" s="36"/>
      <c r="T210" s="36"/>
    </row>
    <row r="211" spans="1:20" ht="15.75">
      <c r="A211" s="13">
        <v>47908</v>
      </c>
      <c r="B211" s="44">
        <v>31</v>
      </c>
      <c r="C211" s="35">
        <v>122.58</v>
      </c>
      <c r="D211" s="35">
        <v>297.94099999999997</v>
      </c>
      <c r="E211" s="41">
        <v>729.47900000000004</v>
      </c>
      <c r="F211" s="35">
        <v>1150</v>
      </c>
      <c r="G211" s="35">
        <v>100</v>
      </c>
      <c r="H211" s="43">
        <v>600</v>
      </c>
      <c r="I211" s="35">
        <v>695</v>
      </c>
      <c r="J211" s="35">
        <v>50</v>
      </c>
      <c r="K211" s="36"/>
      <c r="L211" s="36"/>
      <c r="M211" s="36"/>
      <c r="N211" s="36"/>
      <c r="O211" s="36"/>
      <c r="P211" s="36"/>
      <c r="Q211" s="36"/>
      <c r="R211" s="36"/>
      <c r="S211" s="36"/>
      <c r="T211" s="36"/>
    </row>
    <row r="212" spans="1:20" ht="15.75">
      <c r="A212" s="13">
        <v>47939</v>
      </c>
      <c r="B212" s="44">
        <v>30</v>
      </c>
      <c r="C212" s="35">
        <v>141.29300000000001</v>
      </c>
      <c r="D212" s="35">
        <v>267.99299999999999</v>
      </c>
      <c r="E212" s="41">
        <v>829.71400000000006</v>
      </c>
      <c r="F212" s="35">
        <v>1239</v>
      </c>
      <c r="G212" s="35">
        <v>100</v>
      </c>
      <c r="H212" s="43">
        <v>600</v>
      </c>
      <c r="I212" s="35">
        <v>695</v>
      </c>
      <c r="J212" s="35">
        <v>50</v>
      </c>
      <c r="K212" s="36"/>
      <c r="L212" s="36"/>
      <c r="M212" s="36"/>
      <c r="N212" s="36"/>
      <c r="O212" s="36"/>
      <c r="P212" s="36"/>
      <c r="Q212" s="36"/>
      <c r="R212" s="36"/>
      <c r="S212" s="36"/>
      <c r="T212" s="36"/>
    </row>
    <row r="213" spans="1:20" ht="15.75">
      <c r="A213" s="13">
        <v>47969</v>
      </c>
      <c r="B213" s="44">
        <v>31</v>
      </c>
      <c r="C213" s="35">
        <v>194.20500000000001</v>
      </c>
      <c r="D213" s="35">
        <v>267.46600000000001</v>
      </c>
      <c r="E213" s="41">
        <v>812.32899999999995</v>
      </c>
      <c r="F213" s="35">
        <v>1274</v>
      </c>
      <c r="G213" s="35">
        <v>75</v>
      </c>
      <c r="H213" s="43">
        <v>600</v>
      </c>
      <c r="I213" s="35">
        <v>695</v>
      </c>
      <c r="J213" s="35">
        <v>50</v>
      </c>
      <c r="K213" s="36"/>
      <c r="L213" s="36"/>
      <c r="M213" s="36"/>
      <c r="N213" s="36"/>
      <c r="O213" s="36"/>
      <c r="P213" s="36"/>
      <c r="Q213" s="36"/>
      <c r="R213" s="36"/>
      <c r="S213" s="36"/>
      <c r="T213" s="36"/>
    </row>
    <row r="214" spans="1:20" ht="15.75">
      <c r="A214" s="13">
        <v>48000</v>
      </c>
      <c r="B214" s="44">
        <v>30</v>
      </c>
      <c r="C214" s="35">
        <v>194.20500000000001</v>
      </c>
      <c r="D214" s="35">
        <v>267.46600000000001</v>
      </c>
      <c r="E214" s="41">
        <v>812.32899999999995</v>
      </c>
      <c r="F214" s="35">
        <v>1274</v>
      </c>
      <c r="G214" s="35">
        <v>50</v>
      </c>
      <c r="H214" s="43">
        <v>600</v>
      </c>
      <c r="I214" s="35">
        <v>695</v>
      </c>
      <c r="J214" s="35">
        <v>50</v>
      </c>
      <c r="K214" s="36"/>
      <c r="L214" s="36"/>
      <c r="M214" s="36"/>
      <c r="N214" s="36"/>
      <c r="O214" s="36"/>
      <c r="P214" s="36"/>
      <c r="Q214" s="36"/>
      <c r="R214" s="36"/>
      <c r="S214" s="36"/>
      <c r="T214" s="36"/>
    </row>
    <row r="215" spans="1:20" ht="15.75">
      <c r="A215" s="13">
        <v>48030</v>
      </c>
      <c r="B215" s="44">
        <v>31</v>
      </c>
      <c r="C215" s="35">
        <v>194.20500000000001</v>
      </c>
      <c r="D215" s="35">
        <v>267.46600000000001</v>
      </c>
      <c r="E215" s="41">
        <v>812.32899999999995</v>
      </c>
      <c r="F215" s="35">
        <v>1274</v>
      </c>
      <c r="G215" s="35">
        <v>50</v>
      </c>
      <c r="H215" s="43">
        <v>600</v>
      </c>
      <c r="I215" s="35">
        <v>695</v>
      </c>
      <c r="J215" s="35">
        <v>0</v>
      </c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1:20" ht="15.75">
      <c r="A216" s="13">
        <v>48061</v>
      </c>
      <c r="B216" s="44">
        <v>31</v>
      </c>
      <c r="C216" s="35">
        <v>194.20500000000001</v>
      </c>
      <c r="D216" s="35">
        <v>267.46600000000001</v>
      </c>
      <c r="E216" s="41">
        <v>812.32899999999995</v>
      </c>
      <c r="F216" s="35">
        <v>1274</v>
      </c>
      <c r="G216" s="35">
        <v>50</v>
      </c>
      <c r="H216" s="43">
        <v>600</v>
      </c>
      <c r="I216" s="35">
        <v>695</v>
      </c>
      <c r="J216" s="35">
        <v>0</v>
      </c>
      <c r="K216" s="36"/>
      <c r="L216" s="36"/>
      <c r="M216" s="36"/>
      <c r="N216" s="36"/>
      <c r="O216" s="36"/>
      <c r="P216" s="36"/>
      <c r="Q216" s="36"/>
      <c r="R216" s="36"/>
      <c r="S216" s="36"/>
      <c r="T216" s="36"/>
    </row>
    <row r="217" spans="1:20" ht="15.75">
      <c r="A217" s="13">
        <v>48092</v>
      </c>
      <c r="B217" s="44">
        <v>30</v>
      </c>
      <c r="C217" s="35">
        <v>194.20500000000001</v>
      </c>
      <c r="D217" s="35">
        <v>267.46600000000001</v>
      </c>
      <c r="E217" s="41">
        <v>812.32899999999995</v>
      </c>
      <c r="F217" s="35">
        <v>1274</v>
      </c>
      <c r="G217" s="35">
        <v>50</v>
      </c>
      <c r="H217" s="43">
        <v>600</v>
      </c>
      <c r="I217" s="35">
        <v>695</v>
      </c>
      <c r="J217" s="35">
        <v>0</v>
      </c>
      <c r="K217" s="36"/>
      <c r="L217" s="36"/>
      <c r="M217" s="36"/>
      <c r="N217" s="36"/>
      <c r="O217" s="36"/>
      <c r="P217" s="36"/>
      <c r="Q217" s="36"/>
      <c r="R217" s="36"/>
      <c r="S217" s="36"/>
      <c r="T217" s="36"/>
    </row>
    <row r="218" spans="1:20" ht="15.75">
      <c r="A218" s="13">
        <v>48122</v>
      </c>
      <c r="B218" s="44">
        <v>31</v>
      </c>
      <c r="C218" s="35">
        <v>131.881</v>
      </c>
      <c r="D218" s="35">
        <v>277.16699999999997</v>
      </c>
      <c r="E218" s="41">
        <v>829.952</v>
      </c>
      <c r="F218" s="35">
        <v>1239</v>
      </c>
      <c r="G218" s="35">
        <v>75</v>
      </c>
      <c r="H218" s="43">
        <v>600</v>
      </c>
      <c r="I218" s="35">
        <v>695</v>
      </c>
      <c r="J218" s="35">
        <v>0</v>
      </c>
      <c r="K218" s="36"/>
      <c r="L218" s="36"/>
      <c r="M218" s="36"/>
      <c r="N218" s="36"/>
      <c r="O218" s="36"/>
      <c r="P218" s="36"/>
      <c r="Q218" s="36"/>
      <c r="R218" s="36"/>
      <c r="S218" s="36"/>
      <c r="T218" s="36"/>
    </row>
    <row r="219" spans="1:20" ht="15.75">
      <c r="A219" s="13">
        <v>48153</v>
      </c>
      <c r="B219" s="44">
        <v>30</v>
      </c>
      <c r="C219" s="35">
        <v>122.58</v>
      </c>
      <c r="D219" s="35">
        <v>297.94099999999997</v>
      </c>
      <c r="E219" s="41">
        <v>729.47900000000004</v>
      </c>
      <c r="F219" s="35">
        <v>1150</v>
      </c>
      <c r="G219" s="35">
        <v>100</v>
      </c>
      <c r="H219" s="43">
        <v>600</v>
      </c>
      <c r="I219" s="35">
        <v>695</v>
      </c>
      <c r="J219" s="35">
        <v>50</v>
      </c>
      <c r="K219" s="36"/>
      <c r="L219" s="36"/>
      <c r="M219" s="36"/>
      <c r="N219" s="36"/>
      <c r="O219" s="36"/>
      <c r="P219" s="36"/>
      <c r="Q219" s="36"/>
      <c r="R219" s="36"/>
      <c r="S219" s="36"/>
      <c r="T219" s="36"/>
    </row>
    <row r="220" spans="1:20" ht="15.75">
      <c r="A220" s="13">
        <v>48183</v>
      </c>
      <c r="B220" s="44">
        <v>31</v>
      </c>
      <c r="C220" s="35">
        <v>122.58</v>
      </c>
      <c r="D220" s="35">
        <v>297.94099999999997</v>
      </c>
      <c r="E220" s="41">
        <v>729.47900000000004</v>
      </c>
      <c r="F220" s="35">
        <v>1150</v>
      </c>
      <c r="G220" s="35">
        <v>100</v>
      </c>
      <c r="H220" s="43">
        <v>600</v>
      </c>
      <c r="I220" s="35">
        <v>695</v>
      </c>
      <c r="J220" s="35">
        <v>50</v>
      </c>
      <c r="K220" s="36"/>
      <c r="L220" s="36"/>
      <c r="M220" s="36"/>
      <c r="N220" s="36"/>
      <c r="O220" s="36"/>
      <c r="P220" s="36"/>
      <c r="Q220" s="36"/>
      <c r="R220" s="36"/>
      <c r="S220" s="36"/>
      <c r="T220" s="36"/>
    </row>
    <row r="221" spans="1:20" ht="15.75">
      <c r="A221" s="13">
        <v>48214</v>
      </c>
      <c r="B221" s="44">
        <v>31</v>
      </c>
      <c r="C221" s="35">
        <v>122.58</v>
      </c>
      <c r="D221" s="35">
        <v>297.94099999999997</v>
      </c>
      <c r="E221" s="41">
        <v>729.47900000000004</v>
      </c>
      <c r="F221" s="35">
        <v>1150</v>
      </c>
      <c r="G221" s="35">
        <v>100</v>
      </c>
      <c r="H221" s="43">
        <v>600</v>
      </c>
      <c r="I221" s="35">
        <v>695</v>
      </c>
      <c r="J221" s="35">
        <v>50</v>
      </c>
      <c r="K221" s="36"/>
      <c r="L221" s="36"/>
      <c r="M221" s="36"/>
      <c r="N221" s="36"/>
      <c r="O221" s="36"/>
      <c r="P221" s="36"/>
      <c r="Q221" s="36"/>
      <c r="R221" s="36"/>
      <c r="S221" s="36"/>
      <c r="T221" s="36"/>
    </row>
    <row r="222" spans="1:20" ht="15.75">
      <c r="A222" s="13">
        <v>48245</v>
      </c>
      <c r="B222" s="44">
        <v>29</v>
      </c>
      <c r="C222" s="35">
        <v>122.58</v>
      </c>
      <c r="D222" s="35">
        <v>297.94099999999997</v>
      </c>
      <c r="E222" s="41">
        <v>729.47900000000004</v>
      </c>
      <c r="F222" s="35">
        <v>1150</v>
      </c>
      <c r="G222" s="35">
        <v>100</v>
      </c>
      <c r="H222" s="43">
        <v>600</v>
      </c>
      <c r="I222" s="35">
        <v>695</v>
      </c>
      <c r="J222" s="35">
        <v>50</v>
      </c>
      <c r="K222" s="36"/>
      <c r="L222" s="36"/>
      <c r="M222" s="36"/>
      <c r="N222" s="36"/>
      <c r="O222" s="36"/>
      <c r="P222" s="36"/>
      <c r="Q222" s="36"/>
      <c r="R222" s="36"/>
      <c r="S222" s="36"/>
      <c r="T222" s="36"/>
    </row>
    <row r="223" spans="1:20" ht="15.75">
      <c r="A223" s="13">
        <v>48274</v>
      </c>
      <c r="B223" s="44">
        <v>31</v>
      </c>
      <c r="C223" s="35">
        <v>122.58</v>
      </c>
      <c r="D223" s="35">
        <v>297.94099999999997</v>
      </c>
      <c r="E223" s="41">
        <v>729.47900000000004</v>
      </c>
      <c r="F223" s="35">
        <v>1150</v>
      </c>
      <c r="G223" s="35">
        <v>100</v>
      </c>
      <c r="H223" s="43">
        <v>600</v>
      </c>
      <c r="I223" s="35">
        <v>695</v>
      </c>
      <c r="J223" s="35">
        <v>50</v>
      </c>
      <c r="K223" s="36"/>
      <c r="L223" s="36"/>
      <c r="M223" s="36"/>
      <c r="N223" s="36"/>
      <c r="O223" s="36"/>
      <c r="P223" s="36"/>
      <c r="Q223" s="36"/>
      <c r="R223" s="36"/>
      <c r="S223" s="36"/>
      <c r="T223" s="36"/>
    </row>
    <row r="224" spans="1:20" ht="15.75">
      <c r="A224" s="13">
        <v>48305</v>
      </c>
      <c r="B224" s="44">
        <v>30</v>
      </c>
      <c r="C224" s="35">
        <v>141.29300000000001</v>
      </c>
      <c r="D224" s="35">
        <v>267.99299999999999</v>
      </c>
      <c r="E224" s="41">
        <v>829.71400000000006</v>
      </c>
      <c r="F224" s="35">
        <v>1239</v>
      </c>
      <c r="G224" s="35">
        <v>100</v>
      </c>
      <c r="H224" s="43">
        <v>600</v>
      </c>
      <c r="I224" s="35">
        <v>695</v>
      </c>
      <c r="J224" s="35">
        <v>50</v>
      </c>
      <c r="K224" s="36"/>
      <c r="L224" s="36"/>
      <c r="M224" s="36"/>
      <c r="N224" s="36"/>
      <c r="O224" s="36"/>
      <c r="P224" s="36"/>
      <c r="Q224" s="36"/>
      <c r="R224" s="36"/>
      <c r="S224" s="36"/>
      <c r="T224" s="36"/>
    </row>
    <row r="225" spans="1:20" ht="15.75">
      <c r="A225" s="13">
        <v>48335</v>
      </c>
      <c r="B225" s="44">
        <v>31</v>
      </c>
      <c r="C225" s="35">
        <v>194.20500000000001</v>
      </c>
      <c r="D225" s="35">
        <v>267.46600000000001</v>
      </c>
      <c r="E225" s="41">
        <v>812.32899999999995</v>
      </c>
      <c r="F225" s="35">
        <v>1274</v>
      </c>
      <c r="G225" s="35">
        <v>75</v>
      </c>
      <c r="H225" s="43">
        <v>600</v>
      </c>
      <c r="I225" s="35">
        <v>695</v>
      </c>
      <c r="J225" s="35">
        <v>50</v>
      </c>
      <c r="K225" s="36"/>
      <c r="L225" s="36"/>
      <c r="M225" s="36"/>
      <c r="N225" s="36"/>
      <c r="O225" s="36"/>
      <c r="P225" s="36"/>
      <c r="Q225" s="36"/>
      <c r="R225" s="36"/>
      <c r="S225" s="36"/>
      <c r="T225" s="36"/>
    </row>
    <row r="226" spans="1:20" ht="15.75">
      <c r="A226" s="13">
        <v>48366</v>
      </c>
      <c r="B226" s="44">
        <v>30</v>
      </c>
      <c r="C226" s="35">
        <v>194.20500000000001</v>
      </c>
      <c r="D226" s="35">
        <v>267.46600000000001</v>
      </c>
      <c r="E226" s="41">
        <v>812.32899999999995</v>
      </c>
      <c r="F226" s="35">
        <v>1274</v>
      </c>
      <c r="G226" s="35">
        <v>50</v>
      </c>
      <c r="H226" s="43">
        <v>600</v>
      </c>
      <c r="I226" s="35">
        <v>695</v>
      </c>
      <c r="J226" s="35">
        <v>50</v>
      </c>
      <c r="K226" s="36"/>
      <c r="L226" s="36"/>
      <c r="M226" s="36"/>
      <c r="N226" s="36"/>
      <c r="O226" s="36"/>
      <c r="P226" s="36"/>
      <c r="Q226" s="36"/>
      <c r="R226" s="36"/>
      <c r="S226" s="36"/>
      <c r="T226" s="36"/>
    </row>
    <row r="227" spans="1:20" ht="15.75">
      <c r="A227" s="13">
        <v>48396</v>
      </c>
      <c r="B227" s="44">
        <v>31</v>
      </c>
      <c r="C227" s="35">
        <v>194.20500000000001</v>
      </c>
      <c r="D227" s="35">
        <v>267.46600000000001</v>
      </c>
      <c r="E227" s="41">
        <v>812.32899999999995</v>
      </c>
      <c r="F227" s="35">
        <v>1274</v>
      </c>
      <c r="G227" s="35">
        <v>50</v>
      </c>
      <c r="H227" s="43">
        <v>600</v>
      </c>
      <c r="I227" s="35">
        <v>695</v>
      </c>
      <c r="J227" s="35">
        <v>0</v>
      </c>
      <c r="K227" s="36"/>
      <c r="L227" s="36"/>
      <c r="M227" s="36"/>
      <c r="N227" s="36"/>
      <c r="O227" s="36"/>
      <c r="P227" s="36"/>
      <c r="Q227" s="36"/>
      <c r="R227" s="36"/>
      <c r="S227" s="36"/>
      <c r="T227" s="36"/>
    </row>
    <row r="228" spans="1:20" ht="15.75">
      <c r="A228" s="13">
        <v>48427</v>
      </c>
      <c r="B228" s="44">
        <v>31</v>
      </c>
      <c r="C228" s="35">
        <v>194.20500000000001</v>
      </c>
      <c r="D228" s="35">
        <v>267.46600000000001</v>
      </c>
      <c r="E228" s="41">
        <v>812.32899999999995</v>
      </c>
      <c r="F228" s="35">
        <v>1274</v>
      </c>
      <c r="G228" s="35">
        <v>50</v>
      </c>
      <c r="H228" s="43">
        <v>600</v>
      </c>
      <c r="I228" s="35">
        <v>695</v>
      </c>
      <c r="J228" s="35">
        <v>0</v>
      </c>
      <c r="K228" s="36"/>
      <c r="L228" s="36"/>
      <c r="M228" s="36"/>
      <c r="N228" s="36"/>
      <c r="O228" s="36"/>
      <c r="P228" s="36"/>
      <c r="Q228" s="36"/>
      <c r="R228" s="36"/>
      <c r="S228" s="36"/>
      <c r="T228" s="36"/>
    </row>
    <row r="229" spans="1:20" ht="15.75">
      <c r="A229" s="13">
        <v>48458</v>
      </c>
      <c r="B229" s="44">
        <v>30</v>
      </c>
      <c r="C229" s="35">
        <v>194.20500000000001</v>
      </c>
      <c r="D229" s="35">
        <v>267.46600000000001</v>
      </c>
      <c r="E229" s="41">
        <v>812.32899999999995</v>
      </c>
      <c r="F229" s="35">
        <v>1274</v>
      </c>
      <c r="G229" s="35">
        <v>50</v>
      </c>
      <c r="H229" s="43">
        <v>600</v>
      </c>
      <c r="I229" s="35">
        <v>695</v>
      </c>
      <c r="J229" s="35">
        <v>0</v>
      </c>
      <c r="K229" s="36"/>
      <c r="L229" s="36"/>
      <c r="M229" s="36"/>
      <c r="N229" s="36"/>
      <c r="O229" s="36"/>
      <c r="P229" s="36"/>
      <c r="Q229" s="36"/>
      <c r="R229" s="36"/>
      <c r="S229" s="36"/>
      <c r="T229" s="36"/>
    </row>
    <row r="230" spans="1:20" ht="15.75">
      <c r="A230" s="13">
        <v>48488</v>
      </c>
      <c r="B230" s="44">
        <v>31</v>
      </c>
      <c r="C230" s="35">
        <v>131.881</v>
      </c>
      <c r="D230" s="35">
        <v>277.16699999999997</v>
      </c>
      <c r="E230" s="41">
        <v>829.952</v>
      </c>
      <c r="F230" s="35">
        <v>1239</v>
      </c>
      <c r="G230" s="35">
        <v>75</v>
      </c>
      <c r="H230" s="43">
        <v>600</v>
      </c>
      <c r="I230" s="35">
        <v>695</v>
      </c>
      <c r="J230" s="35">
        <v>0</v>
      </c>
      <c r="K230" s="36"/>
      <c r="L230" s="36"/>
      <c r="M230" s="36"/>
      <c r="N230" s="36"/>
      <c r="O230" s="36"/>
      <c r="P230" s="36"/>
      <c r="Q230" s="36"/>
      <c r="R230" s="36"/>
      <c r="S230" s="36"/>
      <c r="T230" s="36"/>
    </row>
    <row r="231" spans="1:20" ht="15.75">
      <c r="A231" s="13">
        <v>48519</v>
      </c>
      <c r="B231" s="44">
        <v>30</v>
      </c>
      <c r="C231" s="35">
        <v>122.58</v>
      </c>
      <c r="D231" s="35">
        <v>297.94099999999997</v>
      </c>
      <c r="E231" s="41">
        <v>729.47900000000004</v>
      </c>
      <c r="F231" s="35">
        <v>1150</v>
      </c>
      <c r="G231" s="35">
        <v>100</v>
      </c>
      <c r="H231" s="43">
        <v>600</v>
      </c>
      <c r="I231" s="35">
        <v>695</v>
      </c>
      <c r="J231" s="35">
        <v>50</v>
      </c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1:20" ht="15.75">
      <c r="A232" s="13">
        <v>48549</v>
      </c>
      <c r="B232" s="44">
        <v>31</v>
      </c>
      <c r="C232" s="35">
        <v>122.58</v>
      </c>
      <c r="D232" s="35">
        <v>297.94099999999997</v>
      </c>
      <c r="E232" s="41">
        <v>729.47900000000004</v>
      </c>
      <c r="F232" s="35">
        <v>1150</v>
      </c>
      <c r="G232" s="35">
        <v>100</v>
      </c>
      <c r="H232" s="43">
        <v>600</v>
      </c>
      <c r="I232" s="35">
        <v>695</v>
      </c>
      <c r="J232" s="35">
        <v>50</v>
      </c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1:20" ht="15.75">
      <c r="A233" s="13">
        <v>48580</v>
      </c>
      <c r="B233" s="44">
        <v>31</v>
      </c>
      <c r="C233" s="35">
        <v>122.58</v>
      </c>
      <c r="D233" s="35">
        <v>297.94099999999997</v>
      </c>
      <c r="E233" s="41">
        <v>729.47900000000004</v>
      </c>
      <c r="F233" s="35">
        <v>1150</v>
      </c>
      <c r="G233" s="35">
        <v>100</v>
      </c>
      <c r="H233" s="43">
        <v>600</v>
      </c>
      <c r="I233" s="35">
        <v>695</v>
      </c>
      <c r="J233" s="35">
        <v>50</v>
      </c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  <row r="234" spans="1:20" ht="15.75">
      <c r="A234" s="13">
        <v>48611</v>
      </c>
      <c r="B234" s="44">
        <v>28</v>
      </c>
      <c r="C234" s="35">
        <v>122.58</v>
      </c>
      <c r="D234" s="35">
        <v>297.94099999999997</v>
      </c>
      <c r="E234" s="41">
        <v>729.47900000000004</v>
      </c>
      <c r="F234" s="35">
        <v>1150</v>
      </c>
      <c r="G234" s="35">
        <v>100</v>
      </c>
      <c r="H234" s="43">
        <v>600</v>
      </c>
      <c r="I234" s="35">
        <v>695</v>
      </c>
      <c r="J234" s="35">
        <v>50</v>
      </c>
      <c r="K234" s="36"/>
      <c r="L234" s="36"/>
      <c r="M234" s="36"/>
      <c r="N234" s="36"/>
      <c r="O234" s="36"/>
      <c r="P234" s="36"/>
      <c r="Q234" s="36"/>
      <c r="R234" s="36"/>
      <c r="S234" s="36"/>
      <c r="T234" s="36"/>
    </row>
    <row r="235" spans="1:20" ht="15.75">
      <c r="A235" s="13">
        <v>48639</v>
      </c>
      <c r="B235" s="44">
        <v>31</v>
      </c>
      <c r="C235" s="35">
        <v>122.58</v>
      </c>
      <c r="D235" s="35">
        <v>297.94099999999997</v>
      </c>
      <c r="E235" s="41">
        <v>729.47900000000004</v>
      </c>
      <c r="F235" s="35">
        <v>1150</v>
      </c>
      <c r="G235" s="35">
        <v>100</v>
      </c>
      <c r="H235" s="43">
        <v>600</v>
      </c>
      <c r="I235" s="35">
        <v>695</v>
      </c>
      <c r="J235" s="35">
        <v>50</v>
      </c>
      <c r="K235" s="36"/>
      <c r="L235" s="36"/>
      <c r="M235" s="36"/>
      <c r="N235" s="36"/>
      <c r="O235" s="36"/>
      <c r="P235" s="36"/>
      <c r="Q235" s="36"/>
      <c r="R235" s="36"/>
      <c r="S235" s="36"/>
      <c r="T235" s="36"/>
    </row>
    <row r="236" spans="1:20" ht="15.75">
      <c r="A236" s="13">
        <v>48670</v>
      </c>
      <c r="B236" s="44">
        <v>30</v>
      </c>
      <c r="C236" s="35">
        <v>141.29300000000001</v>
      </c>
      <c r="D236" s="35">
        <v>267.99299999999999</v>
      </c>
      <c r="E236" s="41">
        <v>829.71400000000006</v>
      </c>
      <c r="F236" s="35">
        <v>1239</v>
      </c>
      <c r="G236" s="35">
        <v>100</v>
      </c>
      <c r="H236" s="43">
        <v>600</v>
      </c>
      <c r="I236" s="35">
        <v>695</v>
      </c>
      <c r="J236" s="35">
        <v>50</v>
      </c>
      <c r="K236" s="36"/>
      <c r="L236" s="36"/>
      <c r="M236" s="36"/>
      <c r="N236" s="36"/>
      <c r="O236" s="36"/>
      <c r="P236" s="36"/>
      <c r="Q236" s="36"/>
      <c r="R236" s="36"/>
      <c r="S236" s="36"/>
      <c r="T236" s="36"/>
    </row>
    <row r="237" spans="1:20" ht="15.75">
      <c r="A237" s="13">
        <v>48700</v>
      </c>
      <c r="B237" s="44">
        <v>31</v>
      </c>
      <c r="C237" s="35">
        <v>194.20500000000001</v>
      </c>
      <c r="D237" s="35">
        <v>267.46600000000001</v>
      </c>
      <c r="E237" s="41">
        <v>812.32899999999995</v>
      </c>
      <c r="F237" s="35">
        <v>1274</v>
      </c>
      <c r="G237" s="35">
        <v>75</v>
      </c>
      <c r="H237" s="43">
        <v>600</v>
      </c>
      <c r="I237" s="35">
        <v>695</v>
      </c>
      <c r="J237" s="35">
        <v>50</v>
      </c>
      <c r="K237" s="36"/>
      <c r="L237" s="36"/>
      <c r="M237" s="36"/>
      <c r="N237" s="36"/>
      <c r="O237" s="36"/>
      <c r="P237" s="36"/>
      <c r="Q237" s="36"/>
      <c r="R237" s="36"/>
      <c r="S237" s="36"/>
      <c r="T237" s="36"/>
    </row>
    <row r="238" spans="1:20" ht="15.75">
      <c r="A238" s="13">
        <v>48731</v>
      </c>
      <c r="B238" s="44">
        <v>30</v>
      </c>
      <c r="C238" s="35">
        <v>194.20500000000001</v>
      </c>
      <c r="D238" s="35">
        <v>267.46600000000001</v>
      </c>
      <c r="E238" s="41">
        <v>812.32899999999995</v>
      </c>
      <c r="F238" s="35">
        <v>1274</v>
      </c>
      <c r="G238" s="35">
        <v>50</v>
      </c>
      <c r="H238" s="43">
        <v>600</v>
      </c>
      <c r="I238" s="35">
        <v>695</v>
      </c>
      <c r="J238" s="35">
        <v>50</v>
      </c>
      <c r="K238" s="36"/>
      <c r="L238" s="36"/>
      <c r="M238" s="36"/>
      <c r="N238" s="36"/>
      <c r="O238" s="36"/>
      <c r="P238" s="36"/>
      <c r="Q238" s="36"/>
      <c r="R238" s="36"/>
      <c r="S238" s="36"/>
      <c r="T238" s="36"/>
    </row>
    <row r="239" spans="1:20" ht="15.75">
      <c r="A239" s="13">
        <v>48761</v>
      </c>
      <c r="B239" s="44">
        <v>31</v>
      </c>
      <c r="C239" s="35">
        <v>194.20500000000001</v>
      </c>
      <c r="D239" s="35">
        <v>267.46600000000001</v>
      </c>
      <c r="E239" s="41">
        <v>812.32899999999995</v>
      </c>
      <c r="F239" s="35">
        <v>1274</v>
      </c>
      <c r="G239" s="35">
        <v>50</v>
      </c>
      <c r="H239" s="43">
        <v>600</v>
      </c>
      <c r="I239" s="35">
        <v>695</v>
      </c>
      <c r="J239" s="35">
        <v>0</v>
      </c>
      <c r="K239" s="36"/>
      <c r="L239" s="36"/>
      <c r="M239" s="36"/>
      <c r="N239" s="36"/>
      <c r="O239" s="36"/>
      <c r="P239" s="36"/>
      <c r="Q239" s="36"/>
      <c r="R239" s="36"/>
      <c r="S239" s="36"/>
      <c r="T239" s="36"/>
    </row>
    <row r="240" spans="1:20" ht="15.75">
      <c r="A240" s="13">
        <v>48792</v>
      </c>
      <c r="B240" s="44">
        <v>31</v>
      </c>
      <c r="C240" s="35">
        <v>194.20500000000001</v>
      </c>
      <c r="D240" s="35">
        <v>267.46600000000001</v>
      </c>
      <c r="E240" s="41">
        <v>812.32899999999995</v>
      </c>
      <c r="F240" s="35">
        <v>1274</v>
      </c>
      <c r="G240" s="35">
        <v>50</v>
      </c>
      <c r="H240" s="43">
        <v>600</v>
      </c>
      <c r="I240" s="35">
        <v>695</v>
      </c>
      <c r="J240" s="35">
        <v>0</v>
      </c>
      <c r="K240" s="36"/>
      <c r="L240" s="36"/>
      <c r="M240" s="36"/>
      <c r="N240" s="36"/>
      <c r="O240" s="36"/>
      <c r="P240" s="36"/>
      <c r="Q240" s="36"/>
      <c r="R240" s="36"/>
      <c r="S240" s="36"/>
      <c r="T240" s="36"/>
    </row>
    <row r="241" spans="1:20" ht="15.75">
      <c r="A241" s="13">
        <v>48823</v>
      </c>
      <c r="B241" s="44">
        <v>30</v>
      </c>
      <c r="C241" s="35">
        <v>194.20500000000001</v>
      </c>
      <c r="D241" s="35">
        <v>267.46600000000001</v>
      </c>
      <c r="E241" s="41">
        <v>812.32899999999995</v>
      </c>
      <c r="F241" s="35">
        <v>1274</v>
      </c>
      <c r="G241" s="35">
        <v>50</v>
      </c>
      <c r="H241" s="43">
        <v>600</v>
      </c>
      <c r="I241" s="35">
        <v>695</v>
      </c>
      <c r="J241" s="35">
        <v>0</v>
      </c>
      <c r="K241" s="36"/>
      <c r="L241" s="36"/>
      <c r="M241" s="36"/>
      <c r="N241" s="36"/>
      <c r="O241" s="36"/>
      <c r="P241" s="36"/>
      <c r="Q241" s="36"/>
      <c r="R241" s="36"/>
      <c r="S241" s="36"/>
      <c r="T241" s="36"/>
    </row>
    <row r="242" spans="1:20" ht="15.75">
      <c r="A242" s="13">
        <v>48853</v>
      </c>
      <c r="B242" s="44">
        <v>31</v>
      </c>
      <c r="C242" s="35">
        <v>131.881</v>
      </c>
      <c r="D242" s="35">
        <v>277.16699999999997</v>
      </c>
      <c r="E242" s="41">
        <v>829.952</v>
      </c>
      <c r="F242" s="35">
        <v>1239</v>
      </c>
      <c r="G242" s="35">
        <v>75</v>
      </c>
      <c r="H242" s="43">
        <v>600</v>
      </c>
      <c r="I242" s="35">
        <v>695</v>
      </c>
      <c r="J242" s="35">
        <v>0</v>
      </c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1:20" ht="15.75">
      <c r="A243" s="13">
        <v>48884</v>
      </c>
      <c r="B243" s="44">
        <v>30</v>
      </c>
      <c r="C243" s="35">
        <v>122.58</v>
      </c>
      <c r="D243" s="35">
        <v>297.94099999999997</v>
      </c>
      <c r="E243" s="41">
        <v>729.47900000000004</v>
      </c>
      <c r="F243" s="35">
        <v>1150</v>
      </c>
      <c r="G243" s="35">
        <v>100</v>
      </c>
      <c r="H243" s="43">
        <v>600</v>
      </c>
      <c r="I243" s="35">
        <v>695</v>
      </c>
      <c r="J243" s="35">
        <v>50</v>
      </c>
      <c r="K243" s="36"/>
      <c r="L243" s="36"/>
      <c r="M243" s="36"/>
      <c r="N243" s="36"/>
      <c r="O243" s="36"/>
      <c r="P243" s="36"/>
      <c r="Q243" s="36"/>
      <c r="R243" s="36"/>
      <c r="S243" s="36"/>
      <c r="T243" s="36"/>
    </row>
    <row r="244" spans="1:20" ht="15.75">
      <c r="A244" s="13">
        <v>48914</v>
      </c>
      <c r="B244" s="44">
        <v>31</v>
      </c>
      <c r="C244" s="35">
        <v>122.58</v>
      </c>
      <c r="D244" s="35">
        <v>297.94099999999997</v>
      </c>
      <c r="E244" s="41">
        <v>729.47900000000004</v>
      </c>
      <c r="F244" s="35">
        <v>1150</v>
      </c>
      <c r="G244" s="35">
        <v>100</v>
      </c>
      <c r="H244" s="43">
        <v>600</v>
      </c>
      <c r="I244" s="35">
        <v>695</v>
      </c>
      <c r="J244" s="35">
        <v>50</v>
      </c>
      <c r="K244" s="36"/>
      <c r="L244" s="36"/>
      <c r="M244" s="36"/>
      <c r="N244" s="36"/>
      <c r="O244" s="36"/>
      <c r="P244" s="36"/>
      <c r="Q244" s="36"/>
      <c r="R244" s="36"/>
      <c r="S244" s="36"/>
      <c r="T244" s="36"/>
    </row>
    <row r="245" spans="1:20" ht="15.75">
      <c r="A245" s="13">
        <v>48945</v>
      </c>
      <c r="B245" s="44">
        <v>31</v>
      </c>
      <c r="C245" s="35">
        <v>122.58</v>
      </c>
      <c r="D245" s="35">
        <v>297.94099999999997</v>
      </c>
      <c r="E245" s="41">
        <v>729.47900000000004</v>
      </c>
      <c r="F245" s="35">
        <v>1150</v>
      </c>
      <c r="G245" s="35">
        <v>100</v>
      </c>
      <c r="H245" s="43">
        <v>600</v>
      </c>
      <c r="I245" s="35">
        <v>695</v>
      </c>
      <c r="J245" s="35">
        <v>50</v>
      </c>
      <c r="K245" s="36"/>
      <c r="L245" s="36"/>
      <c r="M245" s="36"/>
      <c r="N245" s="36"/>
      <c r="O245" s="36"/>
      <c r="P245" s="36"/>
      <c r="Q245" s="36"/>
      <c r="R245" s="36"/>
      <c r="S245" s="36"/>
      <c r="T245" s="36"/>
    </row>
    <row r="246" spans="1:20" ht="15.75">
      <c r="A246" s="13">
        <v>48976</v>
      </c>
      <c r="B246" s="44">
        <v>28</v>
      </c>
      <c r="C246" s="35">
        <v>122.58</v>
      </c>
      <c r="D246" s="35">
        <v>297.94099999999997</v>
      </c>
      <c r="E246" s="41">
        <v>729.47900000000004</v>
      </c>
      <c r="F246" s="35">
        <v>1150</v>
      </c>
      <c r="G246" s="35">
        <v>100</v>
      </c>
      <c r="H246" s="43">
        <v>600</v>
      </c>
      <c r="I246" s="35">
        <v>695</v>
      </c>
      <c r="J246" s="35">
        <v>50</v>
      </c>
      <c r="K246" s="36"/>
      <c r="L246" s="36"/>
      <c r="M246" s="36"/>
      <c r="N246" s="36"/>
      <c r="O246" s="36"/>
      <c r="P246" s="36"/>
      <c r="Q246" s="36"/>
      <c r="R246" s="36"/>
      <c r="S246" s="36"/>
      <c r="T246" s="36"/>
    </row>
    <row r="247" spans="1:20" ht="15.75">
      <c r="A247" s="13">
        <v>49004</v>
      </c>
      <c r="B247" s="44">
        <v>31</v>
      </c>
      <c r="C247" s="35">
        <v>122.58</v>
      </c>
      <c r="D247" s="35">
        <v>297.94099999999997</v>
      </c>
      <c r="E247" s="41">
        <v>729.47900000000004</v>
      </c>
      <c r="F247" s="35">
        <v>1150</v>
      </c>
      <c r="G247" s="35">
        <v>100</v>
      </c>
      <c r="H247" s="43">
        <v>600</v>
      </c>
      <c r="I247" s="35">
        <v>695</v>
      </c>
      <c r="J247" s="35">
        <v>50</v>
      </c>
      <c r="K247" s="36"/>
      <c r="L247" s="36"/>
      <c r="M247" s="36"/>
      <c r="N247" s="36"/>
      <c r="O247" s="36"/>
      <c r="P247" s="36"/>
      <c r="Q247" s="36"/>
      <c r="R247" s="36"/>
      <c r="S247" s="36"/>
      <c r="T247" s="36"/>
    </row>
    <row r="248" spans="1:20" ht="15.75">
      <c r="A248" s="13">
        <v>49035</v>
      </c>
      <c r="B248" s="44">
        <v>30</v>
      </c>
      <c r="C248" s="35">
        <v>141.29300000000001</v>
      </c>
      <c r="D248" s="35">
        <v>267.99299999999999</v>
      </c>
      <c r="E248" s="41">
        <v>829.71400000000006</v>
      </c>
      <c r="F248" s="35">
        <v>1239</v>
      </c>
      <c r="G248" s="35">
        <v>100</v>
      </c>
      <c r="H248" s="43">
        <v>600</v>
      </c>
      <c r="I248" s="35">
        <v>695</v>
      </c>
      <c r="J248" s="35">
        <v>50</v>
      </c>
      <c r="K248" s="36"/>
      <c r="L248" s="36"/>
      <c r="M248" s="36"/>
      <c r="N248" s="36"/>
      <c r="O248" s="36"/>
      <c r="P248" s="36"/>
      <c r="Q248" s="36"/>
      <c r="R248" s="36"/>
      <c r="S248" s="36"/>
      <c r="T248" s="36"/>
    </row>
    <row r="249" spans="1:20" ht="15.75">
      <c r="A249" s="13">
        <v>49065</v>
      </c>
      <c r="B249" s="44">
        <v>31</v>
      </c>
      <c r="C249" s="35">
        <v>194.20500000000001</v>
      </c>
      <c r="D249" s="35">
        <v>267.46600000000001</v>
      </c>
      <c r="E249" s="41">
        <v>812.32899999999995</v>
      </c>
      <c r="F249" s="35">
        <v>1274</v>
      </c>
      <c r="G249" s="35">
        <v>75</v>
      </c>
      <c r="H249" s="43">
        <v>600</v>
      </c>
      <c r="I249" s="35">
        <v>695</v>
      </c>
      <c r="J249" s="35">
        <v>50</v>
      </c>
      <c r="K249" s="36"/>
      <c r="L249" s="36"/>
      <c r="M249" s="36"/>
      <c r="N249" s="36"/>
      <c r="O249" s="36"/>
      <c r="P249" s="36"/>
      <c r="Q249" s="36"/>
      <c r="R249" s="36"/>
      <c r="S249" s="36"/>
      <c r="T249" s="36"/>
    </row>
    <row r="250" spans="1:20" ht="15.75">
      <c r="A250" s="13">
        <v>49096</v>
      </c>
      <c r="B250" s="44">
        <v>30</v>
      </c>
      <c r="C250" s="35">
        <v>194.20500000000001</v>
      </c>
      <c r="D250" s="35">
        <v>267.46600000000001</v>
      </c>
      <c r="E250" s="41">
        <v>812.32899999999995</v>
      </c>
      <c r="F250" s="35">
        <v>1274</v>
      </c>
      <c r="G250" s="35">
        <v>50</v>
      </c>
      <c r="H250" s="43">
        <v>600</v>
      </c>
      <c r="I250" s="35">
        <v>695</v>
      </c>
      <c r="J250" s="35">
        <v>50</v>
      </c>
      <c r="K250" s="36"/>
      <c r="L250" s="36"/>
      <c r="M250" s="36"/>
      <c r="N250" s="36"/>
      <c r="O250" s="36"/>
      <c r="P250" s="36"/>
      <c r="Q250" s="36"/>
      <c r="R250" s="36"/>
      <c r="S250" s="36"/>
      <c r="T250" s="36"/>
    </row>
    <row r="251" spans="1:20" ht="15.75">
      <c r="A251" s="13">
        <v>49126</v>
      </c>
      <c r="B251" s="44">
        <v>31</v>
      </c>
      <c r="C251" s="35">
        <v>194.20500000000001</v>
      </c>
      <c r="D251" s="35">
        <v>267.46600000000001</v>
      </c>
      <c r="E251" s="41">
        <v>812.32899999999995</v>
      </c>
      <c r="F251" s="35">
        <v>1274</v>
      </c>
      <c r="G251" s="35">
        <v>50</v>
      </c>
      <c r="H251" s="43">
        <v>600</v>
      </c>
      <c r="I251" s="35">
        <v>695</v>
      </c>
      <c r="J251" s="35">
        <v>0</v>
      </c>
      <c r="K251" s="36"/>
      <c r="L251" s="36"/>
      <c r="M251" s="36"/>
      <c r="N251" s="36"/>
      <c r="O251" s="36"/>
      <c r="P251" s="36"/>
      <c r="Q251" s="36"/>
      <c r="R251" s="36"/>
      <c r="S251" s="36"/>
      <c r="T251" s="36"/>
    </row>
    <row r="252" spans="1:20" ht="15.75">
      <c r="A252" s="13">
        <v>49157</v>
      </c>
      <c r="B252" s="44">
        <v>31</v>
      </c>
      <c r="C252" s="35">
        <v>194.20500000000001</v>
      </c>
      <c r="D252" s="35">
        <v>267.46600000000001</v>
      </c>
      <c r="E252" s="41">
        <v>812.32899999999995</v>
      </c>
      <c r="F252" s="35">
        <v>1274</v>
      </c>
      <c r="G252" s="35">
        <v>50</v>
      </c>
      <c r="H252" s="43">
        <v>600</v>
      </c>
      <c r="I252" s="35">
        <v>695</v>
      </c>
      <c r="J252" s="35">
        <v>0</v>
      </c>
      <c r="K252" s="36"/>
      <c r="L252" s="36"/>
      <c r="M252" s="36"/>
      <c r="N252" s="36"/>
      <c r="O252" s="36"/>
      <c r="P252" s="36"/>
      <c r="Q252" s="36"/>
      <c r="R252" s="36"/>
      <c r="S252" s="36"/>
      <c r="T252" s="36"/>
    </row>
    <row r="253" spans="1:20" ht="15.75">
      <c r="A253" s="13">
        <v>49188</v>
      </c>
      <c r="B253" s="44">
        <v>30</v>
      </c>
      <c r="C253" s="35">
        <v>194.20500000000001</v>
      </c>
      <c r="D253" s="35">
        <v>267.46600000000001</v>
      </c>
      <c r="E253" s="41">
        <v>812.32899999999995</v>
      </c>
      <c r="F253" s="35">
        <v>1274</v>
      </c>
      <c r="G253" s="35">
        <v>50</v>
      </c>
      <c r="H253" s="43">
        <v>600</v>
      </c>
      <c r="I253" s="35">
        <v>695</v>
      </c>
      <c r="J253" s="35">
        <v>0</v>
      </c>
      <c r="K253" s="36"/>
      <c r="L253" s="36"/>
      <c r="M253" s="36"/>
      <c r="N253" s="36"/>
      <c r="O253" s="36"/>
      <c r="P253" s="36"/>
      <c r="Q253" s="36"/>
      <c r="R253" s="36"/>
      <c r="S253" s="36"/>
      <c r="T253" s="36"/>
    </row>
    <row r="254" spans="1:20" ht="15.75">
      <c r="A254" s="13">
        <v>49218</v>
      </c>
      <c r="B254" s="44">
        <v>31</v>
      </c>
      <c r="C254" s="35">
        <v>131.881</v>
      </c>
      <c r="D254" s="35">
        <v>277.16699999999997</v>
      </c>
      <c r="E254" s="41">
        <v>829.952</v>
      </c>
      <c r="F254" s="35">
        <v>1239</v>
      </c>
      <c r="G254" s="35">
        <v>75</v>
      </c>
      <c r="H254" s="43">
        <v>600</v>
      </c>
      <c r="I254" s="35">
        <v>695</v>
      </c>
      <c r="J254" s="35">
        <v>0</v>
      </c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1:20" ht="15.75">
      <c r="A255" s="13">
        <v>49249</v>
      </c>
      <c r="B255" s="44">
        <v>30</v>
      </c>
      <c r="C255" s="35">
        <v>122.58</v>
      </c>
      <c r="D255" s="35">
        <v>297.94099999999997</v>
      </c>
      <c r="E255" s="41">
        <v>729.47900000000004</v>
      </c>
      <c r="F255" s="35">
        <v>1150</v>
      </c>
      <c r="G255" s="35">
        <v>100</v>
      </c>
      <c r="H255" s="43">
        <v>600</v>
      </c>
      <c r="I255" s="35">
        <v>695</v>
      </c>
      <c r="J255" s="35">
        <v>50</v>
      </c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1:20" ht="15.75">
      <c r="A256" s="13">
        <v>49279</v>
      </c>
      <c r="B256" s="44">
        <v>31</v>
      </c>
      <c r="C256" s="35">
        <v>122.58</v>
      </c>
      <c r="D256" s="35">
        <v>297.94099999999997</v>
      </c>
      <c r="E256" s="41">
        <v>729.47900000000004</v>
      </c>
      <c r="F256" s="35">
        <v>1150</v>
      </c>
      <c r="G256" s="35">
        <v>100</v>
      </c>
      <c r="H256" s="43">
        <v>600</v>
      </c>
      <c r="I256" s="35">
        <v>695</v>
      </c>
      <c r="J256" s="35">
        <v>50</v>
      </c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  <row r="257" spans="1:20" ht="15.75">
      <c r="A257" s="13">
        <v>49310</v>
      </c>
      <c r="B257" s="44">
        <v>31</v>
      </c>
      <c r="C257" s="35">
        <v>122.58</v>
      </c>
      <c r="D257" s="35">
        <v>297.94099999999997</v>
      </c>
      <c r="E257" s="41">
        <v>729.47900000000004</v>
      </c>
      <c r="F257" s="35">
        <v>1150</v>
      </c>
      <c r="G257" s="35">
        <v>100</v>
      </c>
      <c r="H257" s="43">
        <v>600</v>
      </c>
      <c r="I257" s="35">
        <v>695</v>
      </c>
      <c r="J257" s="35">
        <v>50</v>
      </c>
      <c r="K257" s="36"/>
      <c r="L257" s="36"/>
      <c r="M257" s="36"/>
      <c r="N257" s="36"/>
      <c r="O257" s="36"/>
      <c r="P257" s="36"/>
      <c r="Q257" s="36"/>
      <c r="R257" s="36"/>
      <c r="S257" s="36"/>
      <c r="T257" s="36"/>
    </row>
    <row r="258" spans="1:20" ht="15.75">
      <c r="A258" s="13">
        <v>49341</v>
      </c>
      <c r="B258" s="44">
        <v>28</v>
      </c>
      <c r="C258" s="35">
        <v>122.58</v>
      </c>
      <c r="D258" s="35">
        <v>297.94099999999997</v>
      </c>
      <c r="E258" s="41">
        <v>729.47900000000004</v>
      </c>
      <c r="F258" s="35">
        <v>1150</v>
      </c>
      <c r="G258" s="35">
        <v>100</v>
      </c>
      <c r="H258" s="43">
        <v>600</v>
      </c>
      <c r="I258" s="35">
        <v>695</v>
      </c>
      <c r="J258" s="35">
        <v>50</v>
      </c>
      <c r="K258" s="36"/>
      <c r="L258" s="36"/>
      <c r="M258" s="36"/>
      <c r="N258" s="36"/>
      <c r="O258" s="36"/>
      <c r="P258" s="36"/>
      <c r="Q258" s="36"/>
      <c r="R258" s="36"/>
      <c r="S258" s="36"/>
      <c r="T258" s="36"/>
    </row>
    <row r="259" spans="1:20" ht="15.75">
      <c r="A259" s="13">
        <v>49369</v>
      </c>
      <c r="B259" s="44">
        <v>31</v>
      </c>
      <c r="C259" s="35">
        <v>122.58</v>
      </c>
      <c r="D259" s="35">
        <v>297.94099999999997</v>
      </c>
      <c r="E259" s="41">
        <v>729.47900000000004</v>
      </c>
      <c r="F259" s="35">
        <v>1150</v>
      </c>
      <c r="G259" s="35">
        <v>100</v>
      </c>
      <c r="H259" s="43">
        <v>600</v>
      </c>
      <c r="I259" s="35">
        <v>695</v>
      </c>
      <c r="J259" s="35">
        <v>50</v>
      </c>
      <c r="K259" s="36"/>
      <c r="L259" s="36"/>
      <c r="M259" s="36"/>
      <c r="N259" s="36"/>
      <c r="O259" s="36"/>
      <c r="P259" s="36"/>
      <c r="Q259" s="36"/>
      <c r="R259" s="36"/>
      <c r="S259" s="36"/>
      <c r="T259" s="36"/>
    </row>
    <row r="260" spans="1:20" ht="15.75">
      <c r="A260" s="13">
        <v>49400</v>
      </c>
      <c r="B260" s="44">
        <v>30</v>
      </c>
      <c r="C260" s="35">
        <v>141.29300000000001</v>
      </c>
      <c r="D260" s="35">
        <v>267.99299999999999</v>
      </c>
      <c r="E260" s="41">
        <v>829.71400000000006</v>
      </c>
      <c r="F260" s="35">
        <v>1239</v>
      </c>
      <c r="G260" s="35">
        <v>100</v>
      </c>
      <c r="H260" s="43">
        <v>600</v>
      </c>
      <c r="I260" s="35">
        <v>695</v>
      </c>
      <c r="J260" s="35">
        <v>50</v>
      </c>
      <c r="K260" s="36"/>
      <c r="L260" s="36"/>
      <c r="M260" s="36"/>
      <c r="N260" s="36"/>
      <c r="O260" s="36"/>
      <c r="P260" s="36"/>
      <c r="Q260" s="36"/>
      <c r="R260" s="36"/>
      <c r="S260" s="36"/>
      <c r="T260" s="36"/>
    </row>
    <row r="261" spans="1:20" ht="15.75">
      <c r="A261" s="13">
        <v>49430</v>
      </c>
      <c r="B261" s="44">
        <v>31</v>
      </c>
      <c r="C261" s="35">
        <v>194.20500000000001</v>
      </c>
      <c r="D261" s="35">
        <v>267.46600000000001</v>
      </c>
      <c r="E261" s="41">
        <v>812.32899999999995</v>
      </c>
      <c r="F261" s="35">
        <v>1274</v>
      </c>
      <c r="G261" s="35">
        <v>75</v>
      </c>
      <c r="H261" s="43">
        <v>600</v>
      </c>
      <c r="I261" s="35">
        <v>695</v>
      </c>
      <c r="J261" s="35">
        <v>50</v>
      </c>
      <c r="K261" s="36"/>
      <c r="L261" s="36"/>
      <c r="M261" s="36"/>
      <c r="N261" s="36"/>
      <c r="O261" s="36"/>
      <c r="P261" s="36"/>
      <c r="Q261" s="36"/>
      <c r="R261" s="36"/>
      <c r="S261" s="36"/>
      <c r="T261" s="36"/>
    </row>
    <row r="262" spans="1:20" ht="15.75">
      <c r="A262" s="14">
        <v>49461</v>
      </c>
      <c r="B262" s="44">
        <v>30</v>
      </c>
      <c r="C262" s="35">
        <v>194.20500000000001</v>
      </c>
      <c r="D262" s="35">
        <v>267.46600000000001</v>
      </c>
      <c r="E262" s="41">
        <v>812.32899999999995</v>
      </c>
      <c r="F262" s="35">
        <v>1274</v>
      </c>
      <c r="G262" s="35">
        <v>50</v>
      </c>
      <c r="H262" s="43">
        <v>600</v>
      </c>
      <c r="I262" s="35">
        <v>695</v>
      </c>
      <c r="J262" s="35">
        <v>50</v>
      </c>
      <c r="K262" s="36"/>
      <c r="L262" s="36"/>
      <c r="M262" s="36"/>
      <c r="N262" s="36"/>
      <c r="O262" s="36"/>
      <c r="P262" s="36"/>
      <c r="Q262" s="36"/>
      <c r="R262" s="36"/>
      <c r="S262" s="36"/>
      <c r="T262" s="36"/>
    </row>
    <row r="263" spans="1:20" ht="15.75">
      <c r="A263" s="14">
        <v>49491</v>
      </c>
      <c r="B263" s="44">
        <v>31</v>
      </c>
      <c r="C263" s="35">
        <v>194.20500000000001</v>
      </c>
      <c r="D263" s="35">
        <v>267.46600000000001</v>
      </c>
      <c r="E263" s="41">
        <v>812.32899999999995</v>
      </c>
      <c r="F263" s="35">
        <v>1274</v>
      </c>
      <c r="G263" s="35">
        <v>50</v>
      </c>
      <c r="H263" s="43">
        <v>600</v>
      </c>
      <c r="I263" s="35">
        <v>695</v>
      </c>
      <c r="J263" s="35">
        <v>0</v>
      </c>
      <c r="K263" s="36"/>
      <c r="L263" s="36"/>
      <c r="M263" s="36"/>
      <c r="N263" s="36"/>
      <c r="O263" s="36"/>
      <c r="P263" s="36"/>
      <c r="Q263" s="36"/>
      <c r="R263" s="36"/>
      <c r="S263" s="36"/>
      <c r="T263" s="36"/>
    </row>
    <row r="264" spans="1:20" ht="15.75">
      <c r="A264" s="14">
        <v>49522</v>
      </c>
      <c r="B264" s="44">
        <v>31</v>
      </c>
      <c r="C264" s="35">
        <v>194.20500000000001</v>
      </c>
      <c r="D264" s="35">
        <v>267.46600000000001</v>
      </c>
      <c r="E264" s="41">
        <v>812.32899999999995</v>
      </c>
      <c r="F264" s="35">
        <v>1274</v>
      </c>
      <c r="G264" s="35">
        <v>50</v>
      </c>
      <c r="H264" s="43">
        <v>600</v>
      </c>
      <c r="I264" s="35">
        <v>695</v>
      </c>
      <c r="J264" s="35">
        <v>0</v>
      </c>
      <c r="K264" s="36"/>
      <c r="L264" s="36"/>
      <c r="M264" s="36"/>
      <c r="N264" s="36"/>
      <c r="O264" s="36"/>
      <c r="P264" s="36"/>
      <c r="Q264" s="36"/>
      <c r="R264" s="36"/>
      <c r="S264" s="36"/>
      <c r="T264" s="36"/>
    </row>
    <row r="265" spans="1:20" ht="15.75">
      <c r="A265" s="14">
        <v>49553</v>
      </c>
      <c r="B265" s="44">
        <v>30</v>
      </c>
      <c r="C265" s="35">
        <v>194.20500000000001</v>
      </c>
      <c r="D265" s="35">
        <v>267.46600000000001</v>
      </c>
      <c r="E265" s="41">
        <v>812.32899999999995</v>
      </c>
      <c r="F265" s="35">
        <v>1274</v>
      </c>
      <c r="G265" s="35">
        <v>50</v>
      </c>
      <c r="H265" s="43">
        <v>600</v>
      </c>
      <c r="I265" s="35">
        <v>695</v>
      </c>
      <c r="J265" s="35">
        <v>0</v>
      </c>
      <c r="K265" s="36"/>
      <c r="L265" s="36"/>
      <c r="M265" s="36"/>
      <c r="N265" s="36"/>
      <c r="O265" s="36"/>
      <c r="P265" s="36"/>
      <c r="Q265" s="36"/>
      <c r="R265" s="36"/>
      <c r="S265" s="36"/>
      <c r="T265" s="36"/>
    </row>
    <row r="266" spans="1:20" ht="15.75">
      <c r="A266" s="14">
        <v>49583</v>
      </c>
      <c r="B266" s="44">
        <v>31</v>
      </c>
      <c r="C266" s="35">
        <v>131.881</v>
      </c>
      <c r="D266" s="35">
        <v>277.16699999999997</v>
      </c>
      <c r="E266" s="41">
        <v>829.952</v>
      </c>
      <c r="F266" s="35">
        <v>1239</v>
      </c>
      <c r="G266" s="35">
        <v>75</v>
      </c>
      <c r="H266" s="43">
        <v>600</v>
      </c>
      <c r="I266" s="35">
        <v>695</v>
      </c>
      <c r="J266" s="35">
        <v>0</v>
      </c>
      <c r="K266" s="36"/>
      <c r="L266" s="36"/>
      <c r="M266" s="36"/>
      <c r="N266" s="36"/>
      <c r="O266" s="36"/>
      <c r="P266" s="36"/>
      <c r="Q266" s="36"/>
      <c r="R266" s="36"/>
      <c r="S266" s="36"/>
      <c r="T266" s="36"/>
    </row>
    <row r="267" spans="1:20" ht="15.75">
      <c r="A267" s="14">
        <v>49614</v>
      </c>
      <c r="B267" s="44">
        <v>30</v>
      </c>
      <c r="C267" s="35">
        <v>122.58</v>
      </c>
      <c r="D267" s="35">
        <v>297.94099999999997</v>
      </c>
      <c r="E267" s="41">
        <v>729.47900000000004</v>
      </c>
      <c r="F267" s="35">
        <v>1150</v>
      </c>
      <c r="G267" s="35">
        <v>100</v>
      </c>
      <c r="H267" s="43">
        <v>600</v>
      </c>
      <c r="I267" s="35">
        <v>695</v>
      </c>
      <c r="J267" s="35">
        <v>50</v>
      </c>
      <c r="K267" s="36"/>
      <c r="L267" s="36"/>
      <c r="M267" s="36"/>
      <c r="N267" s="36"/>
      <c r="O267" s="36"/>
      <c r="P267" s="36"/>
      <c r="Q267" s="36"/>
      <c r="R267" s="36"/>
      <c r="S267" s="36"/>
      <c r="T267" s="36"/>
    </row>
    <row r="268" spans="1:20" ht="15.75">
      <c r="A268" s="14">
        <v>49644</v>
      </c>
      <c r="B268" s="44">
        <v>31</v>
      </c>
      <c r="C268" s="35">
        <v>122.58</v>
      </c>
      <c r="D268" s="35">
        <v>297.94099999999997</v>
      </c>
      <c r="E268" s="41">
        <v>729.47900000000004</v>
      </c>
      <c r="F268" s="35">
        <v>1150</v>
      </c>
      <c r="G268" s="35">
        <v>100</v>
      </c>
      <c r="H268" s="43">
        <v>600</v>
      </c>
      <c r="I268" s="35">
        <v>695</v>
      </c>
      <c r="J268" s="35">
        <v>50</v>
      </c>
      <c r="K268" s="36"/>
      <c r="L268" s="36"/>
      <c r="M268" s="36"/>
      <c r="N268" s="36"/>
      <c r="O268" s="36"/>
      <c r="P268" s="36"/>
      <c r="Q268" s="36"/>
      <c r="R268" s="36"/>
      <c r="S268" s="36"/>
      <c r="T268" s="36"/>
    </row>
    <row r="269" spans="1:20" ht="15.75">
      <c r="A269" s="14">
        <v>49675</v>
      </c>
      <c r="B269" s="44">
        <v>31</v>
      </c>
      <c r="C269" s="35">
        <v>122.58</v>
      </c>
      <c r="D269" s="35">
        <v>297.94099999999997</v>
      </c>
      <c r="E269" s="41">
        <v>729.47900000000004</v>
      </c>
      <c r="F269" s="35">
        <v>1150</v>
      </c>
      <c r="G269" s="35">
        <v>100</v>
      </c>
      <c r="H269" s="43">
        <v>600</v>
      </c>
      <c r="I269" s="35">
        <v>695</v>
      </c>
      <c r="J269" s="35">
        <v>50</v>
      </c>
      <c r="K269" s="36"/>
      <c r="L269" s="36"/>
      <c r="M269" s="36"/>
      <c r="N269" s="36"/>
      <c r="O269" s="36"/>
      <c r="P269" s="36"/>
      <c r="Q269" s="36"/>
      <c r="R269" s="36"/>
      <c r="S269" s="36"/>
      <c r="T269" s="36"/>
    </row>
    <row r="270" spans="1:20" ht="15.75">
      <c r="A270" s="14">
        <v>49706</v>
      </c>
      <c r="B270" s="44">
        <v>29</v>
      </c>
      <c r="C270" s="35">
        <v>122.58</v>
      </c>
      <c r="D270" s="35">
        <v>297.94099999999997</v>
      </c>
      <c r="E270" s="41">
        <v>729.47900000000004</v>
      </c>
      <c r="F270" s="35">
        <v>1150</v>
      </c>
      <c r="G270" s="35">
        <v>100</v>
      </c>
      <c r="H270" s="43">
        <v>600</v>
      </c>
      <c r="I270" s="35">
        <v>695</v>
      </c>
      <c r="J270" s="35">
        <v>50</v>
      </c>
      <c r="K270" s="36"/>
      <c r="L270" s="36"/>
      <c r="M270" s="36"/>
      <c r="N270" s="36"/>
      <c r="O270" s="36"/>
      <c r="P270" s="36"/>
      <c r="Q270" s="36"/>
      <c r="R270" s="36"/>
      <c r="S270" s="36"/>
      <c r="T270" s="36"/>
    </row>
    <row r="271" spans="1:20" ht="15.75">
      <c r="A271" s="14">
        <v>49735</v>
      </c>
      <c r="B271" s="44">
        <v>31</v>
      </c>
      <c r="C271" s="35">
        <v>122.58</v>
      </c>
      <c r="D271" s="35">
        <v>297.94099999999997</v>
      </c>
      <c r="E271" s="41">
        <v>729.47900000000004</v>
      </c>
      <c r="F271" s="35">
        <v>1150</v>
      </c>
      <c r="G271" s="35">
        <v>100</v>
      </c>
      <c r="H271" s="43">
        <v>600</v>
      </c>
      <c r="I271" s="35">
        <v>695</v>
      </c>
      <c r="J271" s="35">
        <v>50</v>
      </c>
      <c r="K271" s="36"/>
      <c r="L271" s="36"/>
      <c r="M271" s="36"/>
      <c r="N271" s="36"/>
      <c r="O271" s="36"/>
      <c r="P271" s="36"/>
      <c r="Q271" s="36"/>
      <c r="R271" s="36"/>
      <c r="S271" s="36"/>
      <c r="T271" s="36"/>
    </row>
    <row r="272" spans="1:20" ht="15.75">
      <c r="A272" s="14">
        <v>49766</v>
      </c>
      <c r="B272" s="44">
        <v>30</v>
      </c>
      <c r="C272" s="35">
        <v>141.29300000000001</v>
      </c>
      <c r="D272" s="35">
        <v>267.99299999999999</v>
      </c>
      <c r="E272" s="41">
        <v>829.71400000000006</v>
      </c>
      <c r="F272" s="35">
        <v>1239</v>
      </c>
      <c r="G272" s="35">
        <v>100</v>
      </c>
      <c r="H272" s="43">
        <v>600</v>
      </c>
      <c r="I272" s="35">
        <v>695</v>
      </c>
      <c r="J272" s="35">
        <v>50</v>
      </c>
      <c r="K272" s="36"/>
      <c r="L272" s="36"/>
      <c r="M272" s="36"/>
      <c r="N272" s="36"/>
      <c r="O272" s="36"/>
      <c r="P272" s="36"/>
      <c r="Q272" s="36"/>
      <c r="R272" s="36"/>
      <c r="S272" s="36"/>
      <c r="T272" s="36"/>
    </row>
    <row r="273" spans="1:20" ht="15.75">
      <c r="A273" s="14">
        <v>49796</v>
      </c>
      <c r="B273" s="44">
        <v>31</v>
      </c>
      <c r="C273" s="35">
        <v>194.20500000000001</v>
      </c>
      <c r="D273" s="35">
        <v>267.46600000000001</v>
      </c>
      <c r="E273" s="41">
        <v>812.32899999999995</v>
      </c>
      <c r="F273" s="35">
        <v>1274</v>
      </c>
      <c r="G273" s="35">
        <v>75</v>
      </c>
      <c r="H273" s="43">
        <v>600</v>
      </c>
      <c r="I273" s="35">
        <v>695</v>
      </c>
      <c r="J273" s="35">
        <v>50</v>
      </c>
      <c r="K273" s="36"/>
      <c r="L273" s="36"/>
      <c r="M273" s="36"/>
      <c r="N273" s="36"/>
      <c r="O273" s="36"/>
      <c r="P273" s="36"/>
      <c r="Q273" s="36"/>
      <c r="R273" s="36"/>
      <c r="S273" s="36"/>
      <c r="T273" s="36"/>
    </row>
    <row r="274" spans="1:20" ht="15.75">
      <c r="A274" s="14">
        <v>49827</v>
      </c>
      <c r="B274" s="44">
        <v>30</v>
      </c>
      <c r="C274" s="35">
        <v>194.20500000000001</v>
      </c>
      <c r="D274" s="35">
        <v>267.46600000000001</v>
      </c>
      <c r="E274" s="41">
        <v>812.32899999999995</v>
      </c>
      <c r="F274" s="35">
        <v>1274</v>
      </c>
      <c r="G274" s="35">
        <v>50</v>
      </c>
      <c r="H274" s="43">
        <v>600</v>
      </c>
      <c r="I274" s="35">
        <v>695</v>
      </c>
      <c r="J274" s="35">
        <v>50</v>
      </c>
      <c r="K274" s="36"/>
      <c r="L274" s="36"/>
      <c r="M274" s="36"/>
      <c r="N274" s="36"/>
      <c r="O274" s="36"/>
      <c r="P274" s="36"/>
      <c r="Q274" s="36"/>
      <c r="R274" s="36"/>
      <c r="S274" s="36"/>
      <c r="T274" s="36"/>
    </row>
    <row r="275" spans="1:20" ht="15.75">
      <c r="A275" s="14">
        <v>49857</v>
      </c>
      <c r="B275" s="44">
        <v>31</v>
      </c>
      <c r="C275" s="35">
        <v>194.20500000000001</v>
      </c>
      <c r="D275" s="35">
        <v>267.46600000000001</v>
      </c>
      <c r="E275" s="41">
        <v>812.32899999999995</v>
      </c>
      <c r="F275" s="35">
        <v>1274</v>
      </c>
      <c r="G275" s="35">
        <v>50</v>
      </c>
      <c r="H275" s="43">
        <v>600</v>
      </c>
      <c r="I275" s="35">
        <v>695</v>
      </c>
      <c r="J275" s="35">
        <v>0</v>
      </c>
      <c r="K275" s="36"/>
      <c r="L275" s="36"/>
      <c r="M275" s="36"/>
      <c r="N275" s="36"/>
      <c r="O275" s="36"/>
      <c r="P275" s="36"/>
      <c r="Q275" s="36"/>
      <c r="R275" s="36"/>
      <c r="S275" s="36"/>
      <c r="T275" s="36"/>
    </row>
    <row r="276" spans="1:20" ht="15.75">
      <c r="A276" s="14">
        <v>49888</v>
      </c>
      <c r="B276" s="44">
        <v>31</v>
      </c>
      <c r="C276" s="35">
        <v>194.20500000000001</v>
      </c>
      <c r="D276" s="35">
        <v>267.46600000000001</v>
      </c>
      <c r="E276" s="41">
        <v>812.32899999999995</v>
      </c>
      <c r="F276" s="35">
        <v>1274</v>
      </c>
      <c r="G276" s="35">
        <v>50</v>
      </c>
      <c r="H276" s="43">
        <v>600</v>
      </c>
      <c r="I276" s="35">
        <v>695</v>
      </c>
      <c r="J276" s="35">
        <v>0</v>
      </c>
      <c r="K276" s="36"/>
      <c r="L276" s="36"/>
      <c r="M276" s="36"/>
      <c r="N276" s="36"/>
      <c r="O276" s="36"/>
      <c r="P276" s="36"/>
      <c r="Q276" s="36"/>
      <c r="R276" s="36"/>
      <c r="S276" s="36"/>
      <c r="T276" s="36"/>
    </row>
    <row r="277" spans="1:20" ht="15.75">
      <c r="A277" s="14">
        <v>49919</v>
      </c>
      <c r="B277" s="44">
        <v>30</v>
      </c>
      <c r="C277" s="35">
        <v>194.20500000000001</v>
      </c>
      <c r="D277" s="35">
        <v>267.46600000000001</v>
      </c>
      <c r="E277" s="41">
        <v>812.32899999999995</v>
      </c>
      <c r="F277" s="35">
        <v>1274</v>
      </c>
      <c r="G277" s="35">
        <v>50</v>
      </c>
      <c r="H277" s="43">
        <v>600</v>
      </c>
      <c r="I277" s="35">
        <v>695</v>
      </c>
      <c r="J277" s="35">
        <v>0</v>
      </c>
      <c r="K277" s="36"/>
      <c r="L277" s="36"/>
      <c r="M277" s="36"/>
      <c r="N277" s="36"/>
      <c r="O277" s="36"/>
      <c r="P277" s="36"/>
      <c r="Q277" s="36"/>
      <c r="R277" s="36"/>
      <c r="S277" s="36"/>
      <c r="T277" s="36"/>
    </row>
    <row r="278" spans="1:20" ht="15.75">
      <c r="A278" s="14">
        <v>49949</v>
      </c>
      <c r="B278" s="44">
        <v>31</v>
      </c>
      <c r="C278" s="35">
        <v>131.881</v>
      </c>
      <c r="D278" s="35">
        <v>277.16699999999997</v>
      </c>
      <c r="E278" s="41">
        <v>829.952</v>
      </c>
      <c r="F278" s="35">
        <v>1239</v>
      </c>
      <c r="G278" s="35">
        <v>75</v>
      </c>
      <c r="H278" s="43">
        <v>600</v>
      </c>
      <c r="I278" s="35">
        <v>695</v>
      </c>
      <c r="J278" s="35">
        <v>0</v>
      </c>
      <c r="K278" s="36"/>
      <c r="L278" s="36"/>
      <c r="M278" s="36"/>
      <c r="N278" s="36"/>
      <c r="O278" s="36"/>
      <c r="P278" s="36"/>
      <c r="Q278" s="36"/>
      <c r="R278" s="36"/>
      <c r="S278" s="36"/>
      <c r="T278" s="36"/>
    </row>
    <row r="279" spans="1:20" ht="15.75">
      <c r="A279" s="14">
        <v>49980</v>
      </c>
      <c r="B279" s="44">
        <v>30</v>
      </c>
      <c r="C279" s="35">
        <v>122.58</v>
      </c>
      <c r="D279" s="35">
        <v>297.94099999999997</v>
      </c>
      <c r="E279" s="41">
        <v>729.47900000000004</v>
      </c>
      <c r="F279" s="35">
        <v>1150</v>
      </c>
      <c r="G279" s="35">
        <v>100</v>
      </c>
      <c r="H279" s="43">
        <v>600</v>
      </c>
      <c r="I279" s="35">
        <v>695</v>
      </c>
      <c r="J279" s="35">
        <v>50</v>
      </c>
      <c r="K279" s="36"/>
      <c r="L279" s="36"/>
      <c r="M279" s="36"/>
      <c r="N279" s="36"/>
      <c r="O279" s="36"/>
      <c r="P279" s="36"/>
      <c r="Q279" s="36"/>
      <c r="R279" s="36"/>
      <c r="S279" s="36"/>
      <c r="T279" s="36"/>
    </row>
    <row r="280" spans="1:20" ht="15.75">
      <c r="A280" s="14">
        <v>50010</v>
      </c>
      <c r="B280" s="44">
        <v>31</v>
      </c>
      <c r="C280" s="35">
        <v>122.58</v>
      </c>
      <c r="D280" s="35">
        <v>297.94099999999997</v>
      </c>
      <c r="E280" s="41">
        <v>729.47900000000004</v>
      </c>
      <c r="F280" s="35">
        <v>1150</v>
      </c>
      <c r="G280" s="35">
        <v>100</v>
      </c>
      <c r="H280" s="43">
        <v>600</v>
      </c>
      <c r="I280" s="35">
        <v>695</v>
      </c>
      <c r="J280" s="35">
        <v>50</v>
      </c>
      <c r="K280" s="36"/>
      <c r="L280" s="36"/>
      <c r="M280" s="36"/>
      <c r="N280" s="36"/>
      <c r="O280" s="36"/>
      <c r="P280" s="36"/>
      <c r="Q280" s="36"/>
      <c r="R280" s="36"/>
      <c r="S280" s="36"/>
      <c r="T280" s="36"/>
    </row>
    <row r="281" spans="1:20" ht="15.75">
      <c r="A281" s="14">
        <v>50041</v>
      </c>
      <c r="B281" s="44">
        <v>31</v>
      </c>
      <c r="C281" s="35">
        <v>122.58</v>
      </c>
      <c r="D281" s="35">
        <v>297.94099999999997</v>
      </c>
      <c r="E281" s="41">
        <v>729.47900000000004</v>
      </c>
      <c r="F281" s="35">
        <v>1150</v>
      </c>
      <c r="G281" s="35">
        <v>100</v>
      </c>
      <c r="H281" s="43">
        <v>600</v>
      </c>
      <c r="I281" s="35">
        <v>695</v>
      </c>
      <c r="J281" s="35">
        <v>50</v>
      </c>
      <c r="K281" s="36"/>
      <c r="L281" s="36"/>
      <c r="M281" s="36"/>
      <c r="N281" s="36"/>
      <c r="O281" s="36"/>
      <c r="P281" s="36"/>
      <c r="Q281" s="36"/>
      <c r="R281" s="36"/>
      <c r="S281" s="36"/>
      <c r="T281" s="36"/>
    </row>
    <row r="282" spans="1:20" ht="15.75">
      <c r="A282" s="14">
        <v>50072</v>
      </c>
      <c r="B282" s="44">
        <v>28</v>
      </c>
      <c r="C282" s="35">
        <v>122.58</v>
      </c>
      <c r="D282" s="35">
        <v>297.94099999999997</v>
      </c>
      <c r="E282" s="41">
        <v>729.47900000000004</v>
      </c>
      <c r="F282" s="35">
        <v>1150</v>
      </c>
      <c r="G282" s="35">
        <v>100</v>
      </c>
      <c r="H282" s="43">
        <v>600</v>
      </c>
      <c r="I282" s="35">
        <v>695</v>
      </c>
      <c r="J282" s="35">
        <v>50</v>
      </c>
      <c r="K282" s="36"/>
      <c r="L282" s="36"/>
      <c r="M282" s="36"/>
      <c r="N282" s="36"/>
      <c r="O282" s="36"/>
      <c r="P282" s="36"/>
      <c r="Q282" s="36"/>
      <c r="R282" s="36"/>
      <c r="S282" s="36"/>
      <c r="T282" s="36"/>
    </row>
    <row r="283" spans="1:20" ht="15.75">
      <c r="A283" s="14">
        <v>50100</v>
      </c>
      <c r="B283" s="44">
        <v>31</v>
      </c>
      <c r="C283" s="35">
        <v>122.58</v>
      </c>
      <c r="D283" s="35">
        <v>297.94099999999997</v>
      </c>
      <c r="E283" s="41">
        <v>729.47900000000004</v>
      </c>
      <c r="F283" s="35">
        <v>1150</v>
      </c>
      <c r="G283" s="35">
        <v>100</v>
      </c>
      <c r="H283" s="43">
        <v>600</v>
      </c>
      <c r="I283" s="35">
        <v>695</v>
      </c>
      <c r="J283" s="35">
        <v>50</v>
      </c>
      <c r="K283" s="36"/>
      <c r="L283" s="36"/>
      <c r="M283" s="36"/>
      <c r="N283" s="36"/>
      <c r="O283" s="36"/>
      <c r="P283" s="36"/>
      <c r="Q283" s="36"/>
      <c r="R283" s="36"/>
      <c r="S283" s="36"/>
      <c r="T283" s="36"/>
    </row>
    <row r="284" spans="1:20" ht="15.75">
      <c r="A284" s="14">
        <v>50131</v>
      </c>
      <c r="B284" s="44">
        <v>30</v>
      </c>
      <c r="C284" s="35">
        <v>141.29300000000001</v>
      </c>
      <c r="D284" s="35">
        <v>267.99299999999999</v>
      </c>
      <c r="E284" s="41">
        <v>829.71400000000006</v>
      </c>
      <c r="F284" s="35">
        <v>1239</v>
      </c>
      <c r="G284" s="35">
        <v>100</v>
      </c>
      <c r="H284" s="43">
        <v>600</v>
      </c>
      <c r="I284" s="35">
        <v>695</v>
      </c>
      <c r="J284" s="35">
        <v>50</v>
      </c>
      <c r="K284" s="36"/>
      <c r="L284" s="36"/>
      <c r="M284" s="36"/>
      <c r="N284" s="36"/>
      <c r="O284" s="36"/>
      <c r="P284" s="36"/>
      <c r="Q284" s="36"/>
      <c r="R284" s="36"/>
      <c r="S284" s="36"/>
      <c r="T284" s="36"/>
    </row>
    <row r="285" spans="1:20" ht="15.75">
      <c r="A285" s="14">
        <v>50161</v>
      </c>
      <c r="B285" s="44">
        <v>31</v>
      </c>
      <c r="C285" s="35">
        <v>194.20500000000001</v>
      </c>
      <c r="D285" s="35">
        <v>267.46600000000001</v>
      </c>
      <c r="E285" s="41">
        <v>812.32899999999995</v>
      </c>
      <c r="F285" s="35">
        <v>1274</v>
      </c>
      <c r="G285" s="35">
        <v>75</v>
      </c>
      <c r="H285" s="43">
        <v>600</v>
      </c>
      <c r="I285" s="35">
        <v>695</v>
      </c>
      <c r="J285" s="35">
        <v>50</v>
      </c>
      <c r="K285" s="36"/>
      <c r="L285" s="36"/>
      <c r="M285" s="36"/>
      <c r="N285" s="36"/>
      <c r="O285" s="36"/>
      <c r="P285" s="36"/>
      <c r="Q285" s="36"/>
      <c r="R285" s="36"/>
      <c r="S285" s="36"/>
      <c r="T285" s="36"/>
    </row>
    <row r="286" spans="1:20" ht="15.75">
      <c r="A286" s="14">
        <v>50192</v>
      </c>
      <c r="B286" s="44">
        <v>30</v>
      </c>
      <c r="C286" s="35">
        <v>194.20500000000001</v>
      </c>
      <c r="D286" s="35">
        <v>267.46600000000001</v>
      </c>
      <c r="E286" s="41">
        <v>812.32899999999995</v>
      </c>
      <c r="F286" s="35">
        <v>1274</v>
      </c>
      <c r="G286" s="35">
        <v>50</v>
      </c>
      <c r="H286" s="43">
        <v>600</v>
      </c>
      <c r="I286" s="35">
        <v>695</v>
      </c>
      <c r="J286" s="35">
        <v>50</v>
      </c>
      <c r="K286" s="36"/>
      <c r="L286" s="36"/>
      <c r="M286" s="36"/>
      <c r="N286" s="36"/>
      <c r="O286" s="36"/>
      <c r="P286" s="36"/>
      <c r="Q286" s="36"/>
      <c r="R286" s="36"/>
      <c r="S286" s="36"/>
      <c r="T286" s="36"/>
    </row>
    <row r="287" spans="1:20" ht="15.75">
      <c r="A287" s="14">
        <v>50222</v>
      </c>
      <c r="B287" s="44">
        <v>31</v>
      </c>
      <c r="C287" s="35">
        <v>194.20500000000001</v>
      </c>
      <c r="D287" s="35">
        <v>267.46600000000001</v>
      </c>
      <c r="E287" s="41">
        <v>812.32899999999995</v>
      </c>
      <c r="F287" s="35">
        <v>1274</v>
      </c>
      <c r="G287" s="35">
        <v>50</v>
      </c>
      <c r="H287" s="43">
        <v>600</v>
      </c>
      <c r="I287" s="35">
        <v>695</v>
      </c>
      <c r="J287" s="35">
        <v>0</v>
      </c>
      <c r="K287" s="36"/>
      <c r="L287" s="36"/>
      <c r="M287" s="36"/>
      <c r="N287" s="36"/>
      <c r="O287" s="36"/>
      <c r="P287" s="36"/>
      <c r="Q287" s="36"/>
      <c r="R287" s="36"/>
      <c r="S287" s="36"/>
      <c r="T287" s="36"/>
    </row>
    <row r="288" spans="1:20" ht="15.75">
      <c r="A288" s="14">
        <v>50253</v>
      </c>
      <c r="B288" s="44">
        <v>31</v>
      </c>
      <c r="C288" s="35">
        <v>194.20500000000001</v>
      </c>
      <c r="D288" s="35">
        <v>267.46600000000001</v>
      </c>
      <c r="E288" s="41">
        <v>812.32899999999995</v>
      </c>
      <c r="F288" s="35">
        <v>1274</v>
      </c>
      <c r="G288" s="35">
        <v>50</v>
      </c>
      <c r="H288" s="43">
        <v>600</v>
      </c>
      <c r="I288" s="35">
        <v>695</v>
      </c>
      <c r="J288" s="35">
        <v>0</v>
      </c>
      <c r="K288" s="36"/>
      <c r="L288" s="36"/>
      <c r="M288" s="36"/>
      <c r="N288" s="36"/>
      <c r="O288" s="36"/>
      <c r="P288" s="36"/>
      <c r="Q288" s="36"/>
      <c r="R288" s="36"/>
      <c r="S288" s="36"/>
      <c r="T288" s="36"/>
    </row>
    <row r="289" spans="1:20" ht="15.75">
      <c r="A289" s="14">
        <v>50284</v>
      </c>
      <c r="B289" s="44">
        <v>30</v>
      </c>
      <c r="C289" s="35">
        <v>194.20500000000001</v>
      </c>
      <c r="D289" s="35">
        <v>267.46600000000001</v>
      </c>
      <c r="E289" s="41">
        <v>812.32899999999995</v>
      </c>
      <c r="F289" s="35">
        <v>1274</v>
      </c>
      <c r="G289" s="35">
        <v>50</v>
      </c>
      <c r="H289" s="43">
        <v>600</v>
      </c>
      <c r="I289" s="35">
        <v>695</v>
      </c>
      <c r="J289" s="35">
        <v>0</v>
      </c>
      <c r="K289" s="36"/>
      <c r="L289" s="36"/>
      <c r="M289" s="36"/>
      <c r="N289" s="36"/>
      <c r="O289" s="36"/>
      <c r="P289" s="36"/>
      <c r="Q289" s="36"/>
      <c r="R289" s="36"/>
      <c r="S289" s="36"/>
      <c r="T289" s="36"/>
    </row>
    <row r="290" spans="1:20" ht="15.75">
      <c r="A290" s="14">
        <v>50314</v>
      </c>
      <c r="B290" s="44">
        <v>31</v>
      </c>
      <c r="C290" s="35">
        <v>131.881</v>
      </c>
      <c r="D290" s="35">
        <v>277.16699999999997</v>
      </c>
      <c r="E290" s="41">
        <v>829.952</v>
      </c>
      <c r="F290" s="35">
        <v>1239</v>
      </c>
      <c r="G290" s="35">
        <v>75</v>
      </c>
      <c r="H290" s="43">
        <v>600</v>
      </c>
      <c r="I290" s="35">
        <v>695</v>
      </c>
      <c r="J290" s="35">
        <v>0</v>
      </c>
      <c r="K290" s="36"/>
      <c r="L290" s="36"/>
      <c r="M290" s="36"/>
      <c r="N290" s="36"/>
      <c r="O290" s="36"/>
      <c r="P290" s="36"/>
      <c r="Q290" s="36"/>
      <c r="R290" s="36"/>
      <c r="S290" s="36"/>
      <c r="T290" s="36"/>
    </row>
    <row r="291" spans="1:20" ht="15.75">
      <c r="A291" s="14">
        <v>50345</v>
      </c>
      <c r="B291" s="44">
        <v>30</v>
      </c>
      <c r="C291" s="35">
        <v>122.58</v>
      </c>
      <c r="D291" s="35">
        <v>297.94099999999997</v>
      </c>
      <c r="E291" s="41">
        <v>729.47900000000004</v>
      </c>
      <c r="F291" s="35">
        <v>1150</v>
      </c>
      <c r="G291" s="35">
        <v>100</v>
      </c>
      <c r="H291" s="43">
        <v>600</v>
      </c>
      <c r="I291" s="35">
        <v>695</v>
      </c>
      <c r="J291" s="35">
        <v>50</v>
      </c>
      <c r="K291" s="36"/>
      <c r="L291" s="36"/>
      <c r="M291" s="36"/>
      <c r="N291" s="36"/>
      <c r="O291" s="36"/>
      <c r="P291" s="36"/>
      <c r="Q291" s="36"/>
      <c r="R291" s="36"/>
      <c r="S291" s="36"/>
      <c r="T291" s="36"/>
    </row>
    <row r="292" spans="1:20" ht="15.75">
      <c r="A292" s="14">
        <v>50375</v>
      </c>
      <c r="B292" s="44">
        <v>31</v>
      </c>
      <c r="C292" s="35">
        <v>122.58</v>
      </c>
      <c r="D292" s="35">
        <v>297.94099999999997</v>
      </c>
      <c r="E292" s="41">
        <v>729.47900000000004</v>
      </c>
      <c r="F292" s="35">
        <v>1150</v>
      </c>
      <c r="G292" s="35">
        <v>100</v>
      </c>
      <c r="H292" s="43">
        <v>600</v>
      </c>
      <c r="I292" s="35">
        <v>695</v>
      </c>
      <c r="J292" s="35">
        <v>50</v>
      </c>
      <c r="K292" s="36"/>
      <c r="L292" s="36"/>
      <c r="M292" s="36"/>
      <c r="N292" s="36"/>
      <c r="O292" s="36"/>
      <c r="P292" s="36"/>
      <c r="Q292" s="36"/>
      <c r="R292" s="36"/>
      <c r="S292" s="36"/>
      <c r="T292" s="36"/>
    </row>
    <row r="293" spans="1:20" ht="15.75">
      <c r="A293" s="13">
        <v>50436</v>
      </c>
      <c r="B293" s="44">
        <v>31</v>
      </c>
      <c r="C293" s="35">
        <v>122.58</v>
      </c>
      <c r="D293" s="35">
        <v>297.94099999999997</v>
      </c>
      <c r="E293" s="41">
        <v>729.47900000000004</v>
      </c>
      <c r="F293" s="35">
        <v>1150</v>
      </c>
      <c r="G293" s="35">
        <v>100</v>
      </c>
      <c r="H293" s="43">
        <v>600</v>
      </c>
      <c r="I293" s="35">
        <v>695</v>
      </c>
      <c r="J293" s="35">
        <v>50</v>
      </c>
      <c r="K293" s="36"/>
      <c r="L293" s="36"/>
      <c r="M293" s="36"/>
      <c r="N293" s="36"/>
      <c r="O293" s="36"/>
      <c r="P293" s="36"/>
      <c r="Q293" s="36"/>
      <c r="R293" s="36"/>
      <c r="S293" s="36"/>
      <c r="T293" s="36"/>
    </row>
    <row r="294" spans="1:20" ht="15.75">
      <c r="A294" s="13">
        <v>50464</v>
      </c>
      <c r="B294" s="44">
        <v>28</v>
      </c>
      <c r="C294" s="35">
        <v>122.58</v>
      </c>
      <c r="D294" s="35">
        <v>297.94099999999997</v>
      </c>
      <c r="E294" s="41">
        <v>729.47900000000004</v>
      </c>
      <c r="F294" s="35">
        <v>1150</v>
      </c>
      <c r="G294" s="35">
        <v>100</v>
      </c>
      <c r="H294" s="43">
        <v>600</v>
      </c>
      <c r="I294" s="35">
        <v>695</v>
      </c>
      <c r="J294" s="35">
        <v>50</v>
      </c>
      <c r="K294" s="36"/>
      <c r="L294" s="36"/>
      <c r="M294" s="36"/>
      <c r="N294" s="36"/>
      <c r="O294" s="36"/>
      <c r="P294" s="36"/>
      <c r="Q294" s="36"/>
      <c r="R294" s="36"/>
      <c r="S294" s="36"/>
      <c r="T294" s="36"/>
    </row>
    <row r="295" spans="1:20" ht="15.75">
      <c r="A295" s="13">
        <v>50495</v>
      </c>
      <c r="B295" s="44">
        <v>31</v>
      </c>
      <c r="C295" s="35">
        <v>122.58</v>
      </c>
      <c r="D295" s="35">
        <v>297.94099999999997</v>
      </c>
      <c r="E295" s="41">
        <v>729.47900000000004</v>
      </c>
      <c r="F295" s="35">
        <v>1150</v>
      </c>
      <c r="G295" s="35">
        <v>100</v>
      </c>
      <c r="H295" s="43">
        <v>600</v>
      </c>
      <c r="I295" s="35">
        <v>695</v>
      </c>
      <c r="J295" s="35">
        <v>50</v>
      </c>
      <c r="K295" s="36"/>
      <c r="L295" s="36"/>
      <c r="M295" s="36"/>
      <c r="N295" s="36"/>
      <c r="O295" s="36"/>
      <c r="P295" s="36"/>
      <c r="Q295" s="36"/>
      <c r="R295" s="36"/>
      <c r="S295" s="36"/>
      <c r="T295" s="36"/>
    </row>
    <row r="296" spans="1:20" ht="15.75">
      <c r="A296" s="13">
        <v>50525</v>
      </c>
      <c r="B296" s="44">
        <v>30</v>
      </c>
      <c r="C296" s="35">
        <v>141.29300000000001</v>
      </c>
      <c r="D296" s="35">
        <v>267.99299999999999</v>
      </c>
      <c r="E296" s="41">
        <v>829.71400000000006</v>
      </c>
      <c r="F296" s="35">
        <v>1239</v>
      </c>
      <c r="G296" s="35">
        <v>100</v>
      </c>
      <c r="H296" s="43">
        <v>600</v>
      </c>
      <c r="I296" s="35">
        <v>695</v>
      </c>
      <c r="J296" s="35">
        <v>50</v>
      </c>
      <c r="K296" s="36"/>
      <c r="L296" s="36"/>
      <c r="M296" s="36"/>
      <c r="N296" s="36"/>
      <c r="O296" s="36"/>
      <c r="P296" s="36"/>
      <c r="Q296" s="36"/>
      <c r="R296" s="36"/>
      <c r="S296" s="36"/>
      <c r="T296" s="36"/>
    </row>
    <row r="297" spans="1:20" ht="15.75">
      <c r="A297" s="13">
        <v>50556</v>
      </c>
      <c r="B297" s="44">
        <v>31</v>
      </c>
      <c r="C297" s="35">
        <v>194.20500000000001</v>
      </c>
      <c r="D297" s="35">
        <v>267.46600000000001</v>
      </c>
      <c r="E297" s="41">
        <v>812.32899999999995</v>
      </c>
      <c r="F297" s="35">
        <v>1274</v>
      </c>
      <c r="G297" s="35">
        <v>75</v>
      </c>
      <c r="H297" s="43">
        <v>600</v>
      </c>
      <c r="I297" s="35">
        <v>695</v>
      </c>
      <c r="J297" s="35">
        <v>50</v>
      </c>
      <c r="K297" s="36"/>
      <c r="L297" s="36"/>
      <c r="M297" s="36"/>
      <c r="N297" s="36"/>
      <c r="O297" s="36"/>
      <c r="P297" s="36"/>
      <c r="Q297" s="36"/>
      <c r="R297" s="36"/>
      <c r="S297" s="36"/>
      <c r="T297" s="36"/>
    </row>
    <row r="298" spans="1:20" ht="15.75">
      <c r="A298" s="13">
        <v>50586</v>
      </c>
      <c r="B298" s="44">
        <v>30</v>
      </c>
      <c r="C298" s="35">
        <v>194.20500000000001</v>
      </c>
      <c r="D298" s="35">
        <v>267.46600000000001</v>
      </c>
      <c r="E298" s="41">
        <v>812.32899999999995</v>
      </c>
      <c r="F298" s="35">
        <v>1274</v>
      </c>
      <c r="G298" s="35">
        <v>50</v>
      </c>
      <c r="H298" s="43">
        <v>600</v>
      </c>
      <c r="I298" s="35">
        <v>695</v>
      </c>
      <c r="J298" s="35">
        <v>50</v>
      </c>
      <c r="K298" s="36"/>
      <c r="L298" s="36"/>
      <c r="M298" s="36"/>
      <c r="N298" s="36"/>
      <c r="O298" s="36"/>
      <c r="P298" s="36"/>
      <c r="Q298" s="36"/>
      <c r="R298" s="36"/>
      <c r="S298" s="36"/>
      <c r="T298" s="36"/>
    </row>
    <row r="299" spans="1:20" ht="15.75">
      <c r="A299" s="13">
        <v>50617</v>
      </c>
      <c r="B299" s="44">
        <v>31</v>
      </c>
      <c r="C299" s="35">
        <v>194.20500000000001</v>
      </c>
      <c r="D299" s="35">
        <v>267.46600000000001</v>
      </c>
      <c r="E299" s="41">
        <v>812.32899999999995</v>
      </c>
      <c r="F299" s="35">
        <v>1274</v>
      </c>
      <c r="G299" s="35">
        <v>50</v>
      </c>
      <c r="H299" s="43">
        <v>600</v>
      </c>
      <c r="I299" s="35">
        <v>695</v>
      </c>
      <c r="J299" s="35">
        <v>0</v>
      </c>
      <c r="K299" s="36"/>
      <c r="L299" s="36"/>
      <c r="M299" s="36"/>
      <c r="N299" s="36"/>
      <c r="O299" s="36"/>
      <c r="P299" s="36"/>
      <c r="Q299" s="36"/>
      <c r="R299" s="36"/>
      <c r="S299" s="36"/>
      <c r="T299" s="36"/>
    </row>
    <row r="300" spans="1:20" ht="15.75">
      <c r="A300" s="13">
        <v>50648</v>
      </c>
      <c r="B300" s="44">
        <v>31</v>
      </c>
      <c r="C300" s="35">
        <v>194.20500000000001</v>
      </c>
      <c r="D300" s="35">
        <v>267.46600000000001</v>
      </c>
      <c r="E300" s="41">
        <v>812.32899999999995</v>
      </c>
      <c r="F300" s="35">
        <v>1274</v>
      </c>
      <c r="G300" s="35">
        <v>50</v>
      </c>
      <c r="H300" s="43">
        <v>600</v>
      </c>
      <c r="I300" s="35">
        <v>695</v>
      </c>
      <c r="J300" s="35">
        <v>0</v>
      </c>
      <c r="K300" s="36"/>
      <c r="L300" s="36"/>
      <c r="M300" s="36"/>
      <c r="N300" s="36"/>
      <c r="O300" s="36"/>
      <c r="P300" s="36"/>
      <c r="Q300" s="36"/>
      <c r="R300" s="36"/>
      <c r="S300" s="36"/>
      <c r="T300" s="36"/>
    </row>
    <row r="301" spans="1:20" ht="15.75">
      <c r="A301" s="13">
        <v>50678</v>
      </c>
      <c r="B301" s="44">
        <v>30</v>
      </c>
      <c r="C301" s="35">
        <v>194.20500000000001</v>
      </c>
      <c r="D301" s="35">
        <v>267.46600000000001</v>
      </c>
      <c r="E301" s="41">
        <v>812.32899999999995</v>
      </c>
      <c r="F301" s="35">
        <v>1274</v>
      </c>
      <c r="G301" s="35">
        <v>50</v>
      </c>
      <c r="H301" s="43">
        <v>600</v>
      </c>
      <c r="I301" s="35">
        <v>695</v>
      </c>
      <c r="J301" s="35">
        <v>0</v>
      </c>
      <c r="K301" s="36"/>
      <c r="L301" s="36"/>
      <c r="M301" s="36"/>
      <c r="N301" s="36"/>
      <c r="O301" s="36"/>
      <c r="P301" s="36"/>
      <c r="Q301" s="36"/>
      <c r="R301" s="36"/>
      <c r="S301" s="36"/>
      <c r="T301" s="36"/>
    </row>
    <row r="302" spans="1:20" ht="15.75">
      <c r="A302" s="13">
        <v>50709</v>
      </c>
      <c r="B302" s="44">
        <v>31</v>
      </c>
      <c r="C302" s="35">
        <v>131.881</v>
      </c>
      <c r="D302" s="35">
        <v>277.16699999999997</v>
      </c>
      <c r="E302" s="41">
        <v>829.952</v>
      </c>
      <c r="F302" s="35">
        <v>1239</v>
      </c>
      <c r="G302" s="35">
        <v>75</v>
      </c>
      <c r="H302" s="43">
        <v>600</v>
      </c>
      <c r="I302" s="35">
        <v>695</v>
      </c>
      <c r="J302" s="35">
        <v>0</v>
      </c>
      <c r="K302" s="36"/>
      <c r="L302" s="36"/>
      <c r="M302" s="36"/>
      <c r="N302" s="36"/>
      <c r="O302" s="36"/>
      <c r="P302" s="36"/>
      <c r="Q302" s="36"/>
      <c r="R302" s="36"/>
      <c r="S302" s="36"/>
      <c r="T302" s="36"/>
    </row>
    <row r="303" spans="1:20" ht="15.75">
      <c r="A303" s="13">
        <v>50739</v>
      </c>
      <c r="B303" s="44">
        <v>30</v>
      </c>
      <c r="C303" s="35">
        <v>122.58</v>
      </c>
      <c r="D303" s="35">
        <v>297.94099999999997</v>
      </c>
      <c r="E303" s="41">
        <v>729.47900000000004</v>
      </c>
      <c r="F303" s="35">
        <v>1150</v>
      </c>
      <c r="G303" s="35">
        <v>100</v>
      </c>
      <c r="H303" s="43">
        <v>600</v>
      </c>
      <c r="I303" s="35">
        <v>695</v>
      </c>
      <c r="J303" s="35">
        <v>50</v>
      </c>
      <c r="K303" s="36"/>
      <c r="L303" s="36"/>
      <c r="M303" s="36"/>
      <c r="N303" s="36"/>
      <c r="O303" s="36"/>
      <c r="P303" s="36"/>
      <c r="Q303" s="36"/>
      <c r="R303" s="36"/>
      <c r="S303" s="36"/>
      <c r="T303" s="36"/>
    </row>
    <row r="304" spans="1:20" ht="15.75">
      <c r="A304" s="13">
        <v>50770</v>
      </c>
      <c r="B304" s="44">
        <v>31</v>
      </c>
      <c r="C304" s="35">
        <v>122.58</v>
      </c>
      <c r="D304" s="35">
        <v>297.94099999999997</v>
      </c>
      <c r="E304" s="41">
        <v>729.47900000000004</v>
      </c>
      <c r="F304" s="35">
        <v>1150</v>
      </c>
      <c r="G304" s="35">
        <v>100</v>
      </c>
      <c r="H304" s="43">
        <v>600</v>
      </c>
      <c r="I304" s="35">
        <v>695</v>
      </c>
      <c r="J304" s="35">
        <v>50</v>
      </c>
      <c r="K304" s="36"/>
      <c r="L304" s="36"/>
      <c r="M304" s="36"/>
      <c r="N304" s="36"/>
      <c r="O304" s="36"/>
      <c r="P304" s="36"/>
      <c r="Q304" s="36"/>
      <c r="R304" s="36"/>
      <c r="S304" s="36"/>
      <c r="T304" s="36"/>
    </row>
    <row r="305" spans="1:20" ht="15.75">
      <c r="A305" s="13">
        <v>50801</v>
      </c>
      <c r="B305" s="44">
        <v>31</v>
      </c>
      <c r="C305" s="35">
        <v>122.58</v>
      </c>
      <c r="D305" s="35">
        <v>297.94099999999997</v>
      </c>
      <c r="E305" s="41">
        <v>729.47900000000004</v>
      </c>
      <c r="F305" s="35">
        <v>1150</v>
      </c>
      <c r="G305" s="35">
        <v>100</v>
      </c>
      <c r="H305" s="43">
        <v>600</v>
      </c>
      <c r="I305" s="35">
        <v>695</v>
      </c>
      <c r="J305" s="35">
        <v>50</v>
      </c>
      <c r="K305" s="36"/>
      <c r="L305" s="36"/>
      <c r="M305" s="36"/>
      <c r="N305" s="36"/>
      <c r="O305" s="36"/>
      <c r="P305" s="36"/>
      <c r="Q305" s="36"/>
      <c r="R305" s="36"/>
      <c r="S305" s="36"/>
      <c r="T305" s="36"/>
    </row>
    <row r="306" spans="1:20" ht="15.75">
      <c r="A306" s="13">
        <v>50829</v>
      </c>
      <c r="B306" s="44">
        <v>28</v>
      </c>
      <c r="C306" s="35">
        <v>122.58</v>
      </c>
      <c r="D306" s="35">
        <v>297.94099999999997</v>
      </c>
      <c r="E306" s="41">
        <v>729.47900000000004</v>
      </c>
      <c r="F306" s="35">
        <v>1150</v>
      </c>
      <c r="G306" s="35">
        <v>100</v>
      </c>
      <c r="H306" s="43">
        <v>600</v>
      </c>
      <c r="I306" s="35">
        <v>695</v>
      </c>
      <c r="J306" s="35">
        <v>50</v>
      </c>
      <c r="K306" s="36"/>
      <c r="L306" s="36"/>
      <c r="M306" s="36"/>
      <c r="N306" s="36"/>
      <c r="O306" s="36"/>
      <c r="P306" s="36"/>
      <c r="Q306" s="36"/>
      <c r="R306" s="36"/>
      <c r="S306" s="36"/>
      <c r="T306" s="36"/>
    </row>
    <row r="307" spans="1:20" ht="15.75">
      <c r="A307" s="13">
        <v>50860</v>
      </c>
      <c r="B307" s="44">
        <v>31</v>
      </c>
      <c r="C307" s="35">
        <v>122.58</v>
      </c>
      <c r="D307" s="35">
        <v>297.94099999999997</v>
      </c>
      <c r="E307" s="41">
        <v>729.47900000000004</v>
      </c>
      <c r="F307" s="35">
        <v>1150</v>
      </c>
      <c r="G307" s="35">
        <v>100</v>
      </c>
      <c r="H307" s="43">
        <v>600</v>
      </c>
      <c r="I307" s="35">
        <v>695</v>
      </c>
      <c r="J307" s="35">
        <v>50</v>
      </c>
      <c r="K307" s="36"/>
      <c r="L307" s="36"/>
      <c r="M307" s="36"/>
      <c r="N307" s="36"/>
      <c r="O307" s="36"/>
      <c r="P307" s="36"/>
      <c r="Q307" s="36"/>
      <c r="R307" s="36"/>
      <c r="S307" s="36"/>
      <c r="T307" s="36"/>
    </row>
    <row r="308" spans="1:20" ht="15.75">
      <c r="A308" s="13">
        <v>50890</v>
      </c>
      <c r="B308" s="44">
        <v>30</v>
      </c>
      <c r="C308" s="35">
        <v>141.29300000000001</v>
      </c>
      <c r="D308" s="35">
        <v>267.99299999999999</v>
      </c>
      <c r="E308" s="41">
        <v>829.71400000000006</v>
      </c>
      <c r="F308" s="35">
        <v>1239</v>
      </c>
      <c r="G308" s="35">
        <v>100</v>
      </c>
      <c r="H308" s="43">
        <v>600</v>
      </c>
      <c r="I308" s="35">
        <v>695</v>
      </c>
      <c r="J308" s="35">
        <v>50</v>
      </c>
      <c r="K308" s="36"/>
      <c r="L308" s="36"/>
      <c r="M308" s="36"/>
      <c r="N308" s="36"/>
      <c r="O308" s="36"/>
      <c r="P308" s="36"/>
      <c r="Q308" s="36"/>
      <c r="R308" s="36"/>
      <c r="S308" s="36"/>
      <c r="T308" s="36"/>
    </row>
    <row r="309" spans="1:20" ht="15.75">
      <c r="A309" s="13">
        <v>50921</v>
      </c>
      <c r="B309" s="44">
        <v>31</v>
      </c>
      <c r="C309" s="35">
        <v>194.20500000000001</v>
      </c>
      <c r="D309" s="35">
        <v>267.46600000000001</v>
      </c>
      <c r="E309" s="41">
        <v>812.32899999999995</v>
      </c>
      <c r="F309" s="35">
        <v>1274</v>
      </c>
      <c r="G309" s="35">
        <v>75</v>
      </c>
      <c r="H309" s="43">
        <v>600</v>
      </c>
      <c r="I309" s="35">
        <v>695</v>
      </c>
      <c r="J309" s="35">
        <v>50</v>
      </c>
      <c r="K309" s="36"/>
      <c r="L309" s="36"/>
      <c r="M309" s="36"/>
      <c r="N309" s="36"/>
      <c r="O309" s="36"/>
      <c r="P309" s="36"/>
      <c r="Q309" s="36"/>
      <c r="R309" s="36"/>
      <c r="S309" s="36"/>
      <c r="T309" s="36"/>
    </row>
    <row r="310" spans="1:20" ht="15.75">
      <c r="A310" s="13">
        <v>50951</v>
      </c>
      <c r="B310" s="44">
        <v>30</v>
      </c>
      <c r="C310" s="35">
        <v>194.20500000000001</v>
      </c>
      <c r="D310" s="35">
        <v>267.46600000000001</v>
      </c>
      <c r="E310" s="41">
        <v>812.32899999999995</v>
      </c>
      <c r="F310" s="35">
        <v>1274</v>
      </c>
      <c r="G310" s="35">
        <v>50</v>
      </c>
      <c r="H310" s="43">
        <v>600</v>
      </c>
      <c r="I310" s="35">
        <v>695</v>
      </c>
      <c r="J310" s="35">
        <v>50</v>
      </c>
      <c r="K310" s="36"/>
      <c r="L310" s="36"/>
      <c r="M310" s="36"/>
      <c r="N310" s="36"/>
      <c r="O310" s="36"/>
      <c r="P310" s="36"/>
      <c r="Q310" s="36"/>
      <c r="R310" s="36"/>
      <c r="S310" s="36"/>
      <c r="T310" s="36"/>
    </row>
    <row r="311" spans="1:20" ht="15.75">
      <c r="A311" s="13">
        <v>50982</v>
      </c>
      <c r="B311" s="44">
        <v>31</v>
      </c>
      <c r="C311" s="35">
        <v>194.20500000000001</v>
      </c>
      <c r="D311" s="35">
        <v>267.46600000000001</v>
      </c>
      <c r="E311" s="41">
        <v>812.32899999999995</v>
      </c>
      <c r="F311" s="35">
        <v>1274</v>
      </c>
      <c r="G311" s="35">
        <v>50</v>
      </c>
      <c r="H311" s="43">
        <v>600</v>
      </c>
      <c r="I311" s="35">
        <v>695</v>
      </c>
      <c r="J311" s="35">
        <v>0</v>
      </c>
      <c r="K311" s="36"/>
      <c r="L311" s="36"/>
      <c r="M311" s="36"/>
      <c r="N311" s="36"/>
      <c r="O311" s="36"/>
      <c r="P311" s="36"/>
      <c r="Q311" s="36"/>
      <c r="R311" s="36"/>
      <c r="S311" s="36"/>
      <c r="T311" s="36"/>
    </row>
    <row r="312" spans="1:20" ht="15.75">
      <c r="A312" s="13">
        <v>51013</v>
      </c>
      <c r="B312" s="44">
        <v>31</v>
      </c>
      <c r="C312" s="35">
        <v>194.20500000000001</v>
      </c>
      <c r="D312" s="35">
        <v>267.46600000000001</v>
      </c>
      <c r="E312" s="41">
        <v>812.32899999999995</v>
      </c>
      <c r="F312" s="35">
        <v>1274</v>
      </c>
      <c r="G312" s="35">
        <v>50</v>
      </c>
      <c r="H312" s="43">
        <v>600</v>
      </c>
      <c r="I312" s="35">
        <v>695</v>
      </c>
      <c r="J312" s="35">
        <v>0</v>
      </c>
      <c r="K312" s="36"/>
      <c r="L312" s="36"/>
      <c r="M312" s="36"/>
      <c r="N312" s="36"/>
      <c r="O312" s="36"/>
      <c r="P312" s="36"/>
      <c r="Q312" s="36"/>
      <c r="R312" s="36"/>
      <c r="S312" s="36"/>
      <c r="T312" s="36"/>
    </row>
    <row r="313" spans="1:20" ht="15.75">
      <c r="A313" s="13">
        <v>51043</v>
      </c>
      <c r="B313" s="44">
        <v>30</v>
      </c>
      <c r="C313" s="35">
        <v>194.20500000000001</v>
      </c>
      <c r="D313" s="35">
        <v>267.46600000000001</v>
      </c>
      <c r="E313" s="41">
        <v>812.32899999999995</v>
      </c>
      <c r="F313" s="35">
        <v>1274</v>
      </c>
      <c r="G313" s="35">
        <v>50</v>
      </c>
      <c r="H313" s="43">
        <v>600</v>
      </c>
      <c r="I313" s="35">
        <v>695</v>
      </c>
      <c r="J313" s="35">
        <v>0</v>
      </c>
      <c r="K313" s="36"/>
      <c r="L313" s="36"/>
      <c r="M313" s="36"/>
      <c r="N313" s="36"/>
      <c r="O313" s="36"/>
      <c r="P313" s="36"/>
      <c r="Q313" s="36"/>
      <c r="R313" s="36"/>
      <c r="S313" s="36"/>
      <c r="T313" s="36"/>
    </row>
    <row r="314" spans="1:20" ht="15.75">
      <c r="A314" s="13">
        <v>51074</v>
      </c>
      <c r="B314" s="44">
        <v>31</v>
      </c>
      <c r="C314" s="35">
        <v>131.881</v>
      </c>
      <c r="D314" s="35">
        <v>277.16699999999997</v>
      </c>
      <c r="E314" s="41">
        <v>829.952</v>
      </c>
      <c r="F314" s="35">
        <v>1239</v>
      </c>
      <c r="G314" s="35">
        <v>75</v>
      </c>
      <c r="H314" s="43">
        <v>600</v>
      </c>
      <c r="I314" s="35">
        <v>695</v>
      </c>
      <c r="J314" s="35">
        <v>0</v>
      </c>
      <c r="K314" s="36"/>
      <c r="L314" s="36"/>
      <c r="M314" s="36"/>
      <c r="N314" s="36"/>
      <c r="O314" s="36"/>
      <c r="P314" s="36"/>
      <c r="Q314" s="36"/>
      <c r="R314" s="36"/>
      <c r="S314" s="36"/>
      <c r="T314" s="36"/>
    </row>
    <row r="315" spans="1:20" ht="15.75">
      <c r="A315" s="13">
        <v>51104</v>
      </c>
      <c r="B315" s="44">
        <v>30</v>
      </c>
      <c r="C315" s="35">
        <v>122.58</v>
      </c>
      <c r="D315" s="35">
        <v>297.94099999999997</v>
      </c>
      <c r="E315" s="41">
        <v>729.47900000000004</v>
      </c>
      <c r="F315" s="35">
        <v>1150</v>
      </c>
      <c r="G315" s="35">
        <v>100</v>
      </c>
      <c r="H315" s="43">
        <v>600</v>
      </c>
      <c r="I315" s="35">
        <v>695</v>
      </c>
      <c r="J315" s="35">
        <v>50</v>
      </c>
      <c r="K315" s="36"/>
      <c r="L315" s="36"/>
      <c r="M315" s="36"/>
      <c r="N315" s="36"/>
      <c r="O315" s="36"/>
      <c r="P315" s="36"/>
      <c r="Q315" s="36"/>
      <c r="R315" s="36"/>
      <c r="S315" s="36"/>
      <c r="T315" s="36"/>
    </row>
    <row r="316" spans="1:20" ht="15.75">
      <c r="A316" s="13">
        <v>51135</v>
      </c>
      <c r="B316" s="44">
        <v>31</v>
      </c>
      <c r="C316" s="35">
        <v>122.58</v>
      </c>
      <c r="D316" s="35">
        <v>297.94099999999997</v>
      </c>
      <c r="E316" s="41">
        <v>729.47900000000004</v>
      </c>
      <c r="F316" s="35">
        <v>1150</v>
      </c>
      <c r="G316" s="35">
        <v>100</v>
      </c>
      <c r="H316" s="43">
        <v>600</v>
      </c>
      <c r="I316" s="35">
        <v>695</v>
      </c>
      <c r="J316" s="35">
        <v>50</v>
      </c>
      <c r="K316" s="36"/>
      <c r="L316" s="36"/>
      <c r="M316" s="36"/>
      <c r="N316" s="36"/>
      <c r="O316" s="36"/>
      <c r="P316" s="36"/>
      <c r="Q316" s="36"/>
      <c r="R316" s="36"/>
      <c r="S316" s="36"/>
      <c r="T316" s="36"/>
    </row>
    <row r="317" spans="1:20" ht="15.75">
      <c r="A317" s="13">
        <v>51166</v>
      </c>
      <c r="B317" s="44">
        <v>31</v>
      </c>
      <c r="C317" s="35">
        <v>122.58</v>
      </c>
      <c r="D317" s="35">
        <v>297.94099999999997</v>
      </c>
      <c r="E317" s="41">
        <v>729.47900000000004</v>
      </c>
      <c r="F317" s="35">
        <v>1150</v>
      </c>
      <c r="G317" s="35">
        <v>100</v>
      </c>
      <c r="H317" s="43">
        <v>600</v>
      </c>
      <c r="I317" s="35">
        <v>695</v>
      </c>
      <c r="J317" s="35">
        <v>50</v>
      </c>
      <c r="K317" s="36"/>
      <c r="L317" s="36"/>
      <c r="M317" s="36"/>
      <c r="N317" s="36"/>
      <c r="O317" s="36"/>
      <c r="P317" s="36"/>
      <c r="Q317" s="36"/>
      <c r="R317" s="36"/>
      <c r="S317" s="36"/>
      <c r="T317" s="36"/>
    </row>
    <row r="318" spans="1:20" ht="15.75">
      <c r="A318" s="13">
        <v>51194</v>
      </c>
      <c r="B318" s="44">
        <v>29</v>
      </c>
      <c r="C318" s="35">
        <v>122.58</v>
      </c>
      <c r="D318" s="35">
        <v>297.94099999999997</v>
      </c>
      <c r="E318" s="41">
        <v>729.47900000000004</v>
      </c>
      <c r="F318" s="35">
        <v>1150</v>
      </c>
      <c r="G318" s="35">
        <v>100</v>
      </c>
      <c r="H318" s="43">
        <v>600</v>
      </c>
      <c r="I318" s="35">
        <v>695</v>
      </c>
      <c r="J318" s="35">
        <v>50</v>
      </c>
      <c r="K318" s="36"/>
      <c r="L318" s="36"/>
      <c r="M318" s="36"/>
      <c r="N318" s="36"/>
      <c r="O318" s="36"/>
      <c r="P318" s="36"/>
      <c r="Q318" s="36"/>
      <c r="R318" s="36"/>
      <c r="S318" s="36"/>
      <c r="T318" s="36"/>
    </row>
    <row r="319" spans="1:20" ht="15.75">
      <c r="A319" s="13">
        <v>51226</v>
      </c>
      <c r="B319" s="44">
        <v>31</v>
      </c>
      <c r="C319" s="35">
        <v>122.58</v>
      </c>
      <c r="D319" s="35">
        <v>297.94099999999997</v>
      </c>
      <c r="E319" s="41">
        <v>729.47900000000004</v>
      </c>
      <c r="F319" s="35">
        <v>1150</v>
      </c>
      <c r="G319" s="35">
        <v>100</v>
      </c>
      <c r="H319" s="43">
        <v>600</v>
      </c>
      <c r="I319" s="35">
        <v>695</v>
      </c>
      <c r="J319" s="35">
        <v>50</v>
      </c>
      <c r="K319" s="36"/>
      <c r="L319" s="36"/>
      <c r="M319" s="36"/>
      <c r="N319" s="36"/>
      <c r="O319" s="36"/>
      <c r="P319" s="36"/>
      <c r="Q319" s="36"/>
      <c r="R319" s="36"/>
      <c r="S319" s="36"/>
      <c r="T319" s="36"/>
    </row>
    <row r="320" spans="1:20" ht="15.75">
      <c r="A320" s="13">
        <v>51256</v>
      </c>
      <c r="B320" s="44">
        <v>30</v>
      </c>
      <c r="C320" s="35">
        <v>141.29300000000001</v>
      </c>
      <c r="D320" s="35">
        <v>267.99299999999999</v>
      </c>
      <c r="E320" s="41">
        <v>829.71400000000006</v>
      </c>
      <c r="F320" s="35">
        <v>1239</v>
      </c>
      <c r="G320" s="35">
        <v>100</v>
      </c>
      <c r="H320" s="43">
        <v>600</v>
      </c>
      <c r="I320" s="35">
        <v>695</v>
      </c>
      <c r="J320" s="35">
        <v>50</v>
      </c>
      <c r="K320" s="36"/>
      <c r="L320" s="36"/>
      <c r="M320" s="36"/>
      <c r="N320" s="36"/>
      <c r="O320" s="36"/>
      <c r="P320" s="36"/>
      <c r="Q320" s="36"/>
      <c r="R320" s="36"/>
      <c r="S320" s="36"/>
      <c r="T320" s="36"/>
    </row>
    <row r="321" spans="1:20" ht="15.75">
      <c r="A321" s="13">
        <v>51287</v>
      </c>
      <c r="B321" s="44">
        <v>31</v>
      </c>
      <c r="C321" s="35">
        <v>194.20500000000001</v>
      </c>
      <c r="D321" s="35">
        <v>267.46600000000001</v>
      </c>
      <c r="E321" s="41">
        <v>812.32899999999995</v>
      </c>
      <c r="F321" s="35">
        <v>1274</v>
      </c>
      <c r="G321" s="35">
        <v>75</v>
      </c>
      <c r="H321" s="43">
        <v>600</v>
      </c>
      <c r="I321" s="35">
        <v>695</v>
      </c>
      <c r="J321" s="35">
        <v>50</v>
      </c>
      <c r="K321" s="36"/>
      <c r="L321" s="36"/>
      <c r="M321" s="36"/>
      <c r="N321" s="36"/>
      <c r="O321" s="36"/>
      <c r="P321" s="36"/>
      <c r="Q321" s="36"/>
      <c r="R321" s="36"/>
      <c r="S321" s="36"/>
      <c r="T321" s="36"/>
    </row>
    <row r="322" spans="1:20" ht="15.75">
      <c r="A322" s="13">
        <v>51317</v>
      </c>
      <c r="B322" s="44">
        <v>30</v>
      </c>
      <c r="C322" s="35">
        <v>194.20500000000001</v>
      </c>
      <c r="D322" s="35">
        <v>267.46600000000001</v>
      </c>
      <c r="E322" s="41">
        <v>812.32899999999995</v>
      </c>
      <c r="F322" s="35">
        <v>1274</v>
      </c>
      <c r="G322" s="35">
        <v>50</v>
      </c>
      <c r="H322" s="43">
        <v>600</v>
      </c>
      <c r="I322" s="35">
        <v>695</v>
      </c>
      <c r="J322" s="35">
        <v>50</v>
      </c>
      <c r="K322" s="36"/>
      <c r="L322" s="36"/>
      <c r="M322" s="36"/>
      <c r="N322" s="36"/>
      <c r="O322" s="36"/>
      <c r="P322" s="36"/>
      <c r="Q322" s="36"/>
      <c r="R322" s="36"/>
      <c r="S322" s="36"/>
      <c r="T322" s="36"/>
    </row>
    <row r="323" spans="1:20" ht="15.75">
      <c r="A323" s="13">
        <v>51348</v>
      </c>
      <c r="B323" s="44">
        <v>31</v>
      </c>
      <c r="C323" s="35">
        <v>194.20500000000001</v>
      </c>
      <c r="D323" s="35">
        <v>267.46600000000001</v>
      </c>
      <c r="E323" s="41">
        <v>812.32899999999995</v>
      </c>
      <c r="F323" s="35">
        <v>1274</v>
      </c>
      <c r="G323" s="35">
        <v>50</v>
      </c>
      <c r="H323" s="43">
        <v>600</v>
      </c>
      <c r="I323" s="35">
        <v>695</v>
      </c>
      <c r="J323" s="35">
        <v>0</v>
      </c>
      <c r="K323" s="36"/>
      <c r="L323" s="36"/>
      <c r="M323" s="36"/>
      <c r="N323" s="36"/>
      <c r="O323" s="36"/>
      <c r="P323" s="36"/>
      <c r="Q323" s="36"/>
      <c r="R323" s="36"/>
      <c r="S323" s="36"/>
      <c r="T323" s="36"/>
    </row>
    <row r="324" spans="1:20" ht="15.75">
      <c r="A324" s="13">
        <v>51379</v>
      </c>
      <c r="B324" s="44">
        <v>31</v>
      </c>
      <c r="C324" s="35">
        <v>194.20500000000001</v>
      </c>
      <c r="D324" s="35">
        <v>267.46600000000001</v>
      </c>
      <c r="E324" s="41">
        <v>812.32899999999995</v>
      </c>
      <c r="F324" s="35">
        <v>1274</v>
      </c>
      <c r="G324" s="35">
        <v>50</v>
      </c>
      <c r="H324" s="43">
        <v>600</v>
      </c>
      <c r="I324" s="35">
        <v>695</v>
      </c>
      <c r="J324" s="35">
        <v>0</v>
      </c>
      <c r="K324" s="36"/>
      <c r="L324" s="36"/>
      <c r="M324" s="36"/>
      <c r="N324" s="36"/>
      <c r="O324" s="36"/>
      <c r="P324" s="36"/>
      <c r="Q324" s="36"/>
      <c r="R324" s="36"/>
      <c r="S324" s="36"/>
      <c r="T324" s="36"/>
    </row>
    <row r="325" spans="1:20" ht="15.75">
      <c r="A325" s="13">
        <v>51409</v>
      </c>
      <c r="B325" s="44">
        <v>30</v>
      </c>
      <c r="C325" s="35">
        <v>194.20500000000001</v>
      </c>
      <c r="D325" s="35">
        <v>267.46600000000001</v>
      </c>
      <c r="E325" s="41">
        <v>812.32899999999995</v>
      </c>
      <c r="F325" s="35">
        <v>1274</v>
      </c>
      <c r="G325" s="35">
        <v>50</v>
      </c>
      <c r="H325" s="43">
        <v>600</v>
      </c>
      <c r="I325" s="35">
        <v>695</v>
      </c>
      <c r="J325" s="35">
        <v>0</v>
      </c>
      <c r="K325" s="36"/>
      <c r="L325" s="36"/>
      <c r="M325" s="36"/>
      <c r="N325" s="36"/>
      <c r="O325" s="36"/>
      <c r="P325" s="36"/>
      <c r="Q325" s="36"/>
      <c r="R325" s="36"/>
      <c r="S325" s="36"/>
      <c r="T325" s="36"/>
    </row>
    <row r="326" spans="1:20" ht="15.75">
      <c r="A326" s="13">
        <v>51440</v>
      </c>
      <c r="B326" s="44">
        <v>31</v>
      </c>
      <c r="C326" s="35">
        <v>131.881</v>
      </c>
      <c r="D326" s="35">
        <v>277.16699999999997</v>
      </c>
      <c r="E326" s="41">
        <v>829.952</v>
      </c>
      <c r="F326" s="35">
        <v>1239</v>
      </c>
      <c r="G326" s="35">
        <v>75</v>
      </c>
      <c r="H326" s="43">
        <v>600</v>
      </c>
      <c r="I326" s="35">
        <v>695</v>
      </c>
      <c r="J326" s="35">
        <v>0</v>
      </c>
      <c r="K326" s="36"/>
      <c r="L326" s="36"/>
      <c r="M326" s="36"/>
      <c r="N326" s="36"/>
      <c r="O326" s="36"/>
      <c r="P326" s="36"/>
      <c r="Q326" s="36"/>
      <c r="R326" s="36"/>
      <c r="S326" s="36"/>
      <c r="T326" s="36"/>
    </row>
    <row r="327" spans="1:20" ht="15.75">
      <c r="A327" s="13">
        <v>51470</v>
      </c>
      <c r="B327" s="44">
        <v>30</v>
      </c>
      <c r="C327" s="35">
        <v>122.58</v>
      </c>
      <c r="D327" s="35">
        <v>297.94099999999997</v>
      </c>
      <c r="E327" s="41">
        <v>729.47900000000004</v>
      </c>
      <c r="F327" s="35">
        <v>1150</v>
      </c>
      <c r="G327" s="35">
        <v>100</v>
      </c>
      <c r="H327" s="43">
        <v>600</v>
      </c>
      <c r="I327" s="35">
        <v>695</v>
      </c>
      <c r="J327" s="35">
        <v>50</v>
      </c>
      <c r="K327" s="36"/>
      <c r="L327" s="36"/>
      <c r="M327" s="36"/>
      <c r="N327" s="36"/>
      <c r="O327" s="36"/>
      <c r="P327" s="36"/>
      <c r="Q327" s="36"/>
      <c r="R327" s="36"/>
      <c r="S327" s="36"/>
      <c r="T327" s="36"/>
    </row>
    <row r="328" spans="1:20" ht="15.75">
      <c r="A328" s="13">
        <v>51501</v>
      </c>
      <c r="B328" s="44">
        <v>31</v>
      </c>
      <c r="C328" s="35">
        <v>122.58</v>
      </c>
      <c r="D328" s="35">
        <v>297.94099999999997</v>
      </c>
      <c r="E328" s="41">
        <v>729.47900000000004</v>
      </c>
      <c r="F328" s="35">
        <v>1150</v>
      </c>
      <c r="G328" s="35">
        <v>100</v>
      </c>
      <c r="H328" s="43">
        <v>600</v>
      </c>
      <c r="I328" s="35">
        <v>695</v>
      </c>
      <c r="J328" s="35">
        <v>50</v>
      </c>
      <c r="K328" s="36"/>
      <c r="L328" s="36"/>
      <c r="M328" s="36"/>
      <c r="N328" s="36"/>
      <c r="O328" s="36"/>
      <c r="P328" s="36"/>
      <c r="Q328" s="36"/>
      <c r="R328" s="36"/>
      <c r="S328" s="36"/>
      <c r="T328" s="36"/>
    </row>
    <row r="329" spans="1:20" ht="15.75">
      <c r="A329" s="13">
        <v>51532</v>
      </c>
      <c r="B329" s="44">
        <v>31</v>
      </c>
      <c r="C329" s="35">
        <v>122.58</v>
      </c>
      <c r="D329" s="35">
        <v>297.94099999999997</v>
      </c>
      <c r="E329" s="41">
        <v>729.47900000000004</v>
      </c>
      <c r="F329" s="35">
        <v>1150</v>
      </c>
      <c r="G329" s="35">
        <v>100</v>
      </c>
      <c r="H329" s="43">
        <v>600</v>
      </c>
      <c r="I329" s="35">
        <v>695</v>
      </c>
      <c r="J329" s="35">
        <v>50</v>
      </c>
      <c r="K329" s="36"/>
      <c r="L329" s="36"/>
      <c r="M329" s="36"/>
      <c r="N329" s="36"/>
      <c r="O329" s="36"/>
      <c r="P329" s="36"/>
      <c r="Q329" s="36"/>
      <c r="R329" s="36"/>
      <c r="S329" s="36"/>
      <c r="T329" s="36"/>
    </row>
    <row r="330" spans="1:20" ht="15.75">
      <c r="A330" s="13">
        <v>51560</v>
      </c>
      <c r="B330" s="44">
        <v>28</v>
      </c>
      <c r="C330" s="35">
        <v>122.58</v>
      </c>
      <c r="D330" s="35">
        <v>297.94099999999997</v>
      </c>
      <c r="E330" s="41">
        <v>729.47900000000004</v>
      </c>
      <c r="F330" s="35">
        <v>1150</v>
      </c>
      <c r="G330" s="35">
        <v>100</v>
      </c>
      <c r="H330" s="43">
        <v>600</v>
      </c>
      <c r="I330" s="35">
        <v>695</v>
      </c>
      <c r="J330" s="35">
        <v>50</v>
      </c>
      <c r="K330" s="36"/>
      <c r="L330" s="36"/>
      <c r="M330" s="36"/>
      <c r="N330" s="36"/>
      <c r="O330" s="36"/>
      <c r="P330" s="36"/>
      <c r="Q330" s="36"/>
      <c r="R330" s="36"/>
      <c r="S330" s="36"/>
      <c r="T330" s="36"/>
    </row>
    <row r="331" spans="1:20" ht="15.75">
      <c r="A331" s="13">
        <v>51591</v>
      </c>
      <c r="B331" s="44">
        <v>31</v>
      </c>
      <c r="C331" s="35">
        <v>122.58</v>
      </c>
      <c r="D331" s="35">
        <v>297.94099999999997</v>
      </c>
      <c r="E331" s="41">
        <v>729.47900000000004</v>
      </c>
      <c r="F331" s="35">
        <v>1150</v>
      </c>
      <c r="G331" s="35">
        <v>100</v>
      </c>
      <c r="H331" s="43">
        <v>600</v>
      </c>
      <c r="I331" s="35">
        <v>695</v>
      </c>
      <c r="J331" s="35">
        <v>50</v>
      </c>
      <c r="K331" s="36"/>
      <c r="L331" s="36"/>
      <c r="M331" s="36"/>
      <c r="N331" s="36"/>
      <c r="O331" s="36"/>
      <c r="P331" s="36"/>
      <c r="Q331" s="36"/>
      <c r="R331" s="36"/>
      <c r="S331" s="36"/>
      <c r="T331" s="36"/>
    </row>
    <row r="332" spans="1:20" ht="15.75">
      <c r="A332" s="13">
        <v>51621</v>
      </c>
      <c r="B332" s="44">
        <v>30</v>
      </c>
      <c r="C332" s="35">
        <v>141.29300000000001</v>
      </c>
      <c r="D332" s="35">
        <v>267.99299999999999</v>
      </c>
      <c r="E332" s="41">
        <v>829.71400000000006</v>
      </c>
      <c r="F332" s="35">
        <v>1239</v>
      </c>
      <c r="G332" s="35">
        <v>100</v>
      </c>
      <c r="H332" s="43">
        <v>600</v>
      </c>
      <c r="I332" s="35">
        <v>695</v>
      </c>
      <c r="J332" s="35">
        <v>50</v>
      </c>
      <c r="K332" s="36"/>
      <c r="L332" s="36"/>
      <c r="M332" s="36"/>
      <c r="N332" s="36"/>
      <c r="O332" s="36"/>
      <c r="P332" s="36"/>
      <c r="Q332" s="36"/>
      <c r="R332" s="36"/>
      <c r="S332" s="36"/>
      <c r="T332" s="36"/>
    </row>
    <row r="333" spans="1:20" ht="15.75">
      <c r="A333" s="13">
        <v>51652</v>
      </c>
      <c r="B333" s="44">
        <v>31</v>
      </c>
      <c r="C333" s="35">
        <v>194.20500000000001</v>
      </c>
      <c r="D333" s="35">
        <v>267.46600000000001</v>
      </c>
      <c r="E333" s="41">
        <v>812.32899999999995</v>
      </c>
      <c r="F333" s="35">
        <v>1274</v>
      </c>
      <c r="G333" s="35">
        <v>75</v>
      </c>
      <c r="H333" s="43">
        <v>600</v>
      </c>
      <c r="I333" s="35">
        <v>695</v>
      </c>
      <c r="J333" s="35">
        <v>50</v>
      </c>
      <c r="K333" s="36"/>
      <c r="L333" s="36"/>
      <c r="M333" s="36"/>
      <c r="N333" s="36"/>
      <c r="O333" s="36"/>
      <c r="P333" s="36"/>
      <c r="Q333" s="36"/>
      <c r="R333" s="36"/>
      <c r="S333" s="36"/>
      <c r="T333" s="36"/>
    </row>
    <row r="334" spans="1:20" ht="15.75">
      <c r="A334" s="13">
        <v>51682</v>
      </c>
      <c r="B334" s="44">
        <v>30</v>
      </c>
      <c r="C334" s="35">
        <v>194.20500000000001</v>
      </c>
      <c r="D334" s="35">
        <v>267.46600000000001</v>
      </c>
      <c r="E334" s="41">
        <v>812.32899999999995</v>
      </c>
      <c r="F334" s="35">
        <v>1274</v>
      </c>
      <c r="G334" s="35">
        <v>50</v>
      </c>
      <c r="H334" s="43">
        <v>600</v>
      </c>
      <c r="I334" s="35">
        <v>695</v>
      </c>
      <c r="J334" s="35">
        <v>50</v>
      </c>
      <c r="K334" s="36"/>
      <c r="L334" s="36"/>
      <c r="M334" s="36"/>
      <c r="N334" s="36"/>
      <c r="O334" s="36"/>
      <c r="P334" s="36"/>
      <c r="Q334" s="36"/>
      <c r="R334" s="36"/>
      <c r="S334" s="36"/>
      <c r="T334" s="36"/>
    </row>
    <row r="335" spans="1:20" ht="15.75">
      <c r="A335" s="13">
        <v>51713</v>
      </c>
      <c r="B335" s="44">
        <v>31</v>
      </c>
      <c r="C335" s="35">
        <v>194.20500000000001</v>
      </c>
      <c r="D335" s="35">
        <v>267.46600000000001</v>
      </c>
      <c r="E335" s="41">
        <v>812.32899999999995</v>
      </c>
      <c r="F335" s="35">
        <v>1274</v>
      </c>
      <c r="G335" s="35">
        <v>50</v>
      </c>
      <c r="H335" s="43">
        <v>600</v>
      </c>
      <c r="I335" s="35">
        <v>695</v>
      </c>
      <c r="J335" s="35">
        <v>0</v>
      </c>
      <c r="K335" s="36"/>
      <c r="L335" s="36"/>
      <c r="M335" s="36"/>
      <c r="N335" s="36"/>
      <c r="O335" s="36"/>
      <c r="P335" s="36"/>
      <c r="Q335" s="36"/>
      <c r="R335" s="36"/>
      <c r="S335" s="36"/>
      <c r="T335" s="36"/>
    </row>
    <row r="336" spans="1:20" ht="15.75">
      <c r="A336" s="13">
        <v>51744</v>
      </c>
      <c r="B336" s="44">
        <v>31</v>
      </c>
      <c r="C336" s="35">
        <v>194.20500000000001</v>
      </c>
      <c r="D336" s="35">
        <v>267.46600000000001</v>
      </c>
      <c r="E336" s="41">
        <v>812.32899999999995</v>
      </c>
      <c r="F336" s="35">
        <v>1274</v>
      </c>
      <c r="G336" s="35">
        <v>50</v>
      </c>
      <c r="H336" s="43">
        <v>600</v>
      </c>
      <c r="I336" s="35">
        <v>695</v>
      </c>
      <c r="J336" s="35">
        <v>0</v>
      </c>
      <c r="K336" s="36"/>
      <c r="L336" s="36"/>
      <c r="M336" s="36"/>
      <c r="N336" s="36"/>
      <c r="O336" s="36"/>
      <c r="P336" s="36"/>
      <c r="Q336" s="36"/>
      <c r="R336" s="36"/>
      <c r="S336" s="36"/>
      <c r="T336" s="36"/>
    </row>
    <row r="337" spans="1:20" ht="15.75">
      <c r="A337" s="13">
        <v>51774</v>
      </c>
      <c r="B337" s="44">
        <v>30</v>
      </c>
      <c r="C337" s="35">
        <v>194.20500000000001</v>
      </c>
      <c r="D337" s="35">
        <v>267.46600000000001</v>
      </c>
      <c r="E337" s="41">
        <v>812.32899999999995</v>
      </c>
      <c r="F337" s="35">
        <v>1274</v>
      </c>
      <c r="G337" s="35">
        <v>50</v>
      </c>
      <c r="H337" s="43">
        <v>600</v>
      </c>
      <c r="I337" s="35">
        <v>695</v>
      </c>
      <c r="J337" s="35">
        <v>0</v>
      </c>
      <c r="K337" s="36"/>
      <c r="L337" s="36"/>
      <c r="M337" s="36"/>
      <c r="N337" s="36"/>
      <c r="O337" s="36"/>
      <c r="P337" s="36"/>
      <c r="Q337" s="36"/>
      <c r="R337" s="36"/>
      <c r="S337" s="36"/>
      <c r="T337" s="36"/>
    </row>
    <row r="338" spans="1:20" ht="15.75">
      <c r="A338" s="13">
        <v>51805</v>
      </c>
      <c r="B338" s="44">
        <v>31</v>
      </c>
      <c r="C338" s="35">
        <v>131.881</v>
      </c>
      <c r="D338" s="35">
        <v>277.16699999999997</v>
      </c>
      <c r="E338" s="41">
        <v>829.952</v>
      </c>
      <c r="F338" s="35">
        <v>1239</v>
      </c>
      <c r="G338" s="35">
        <v>75</v>
      </c>
      <c r="H338" s="43">
        <v>600</v>
      </c>
      <c r="I338" s="35">
        <v>695</v>
      </c>
      <c r="J338" s="35">
        <v>0</v>
      </c>
      <c r="K338" s="36"/>
      <c r="L338" s="36"/>
      <c r="M338" s="36"/>
      <c r="N338" s="36"/>
      <c r="O338" s="36"/>
      <c r="P338" s="36"/>
      <c r="Q338" s="36"/>
      <c r="R338" s="36"/>
      <c r="S338" s="36"/>
      <c r="T338" s="36"/>
    </row>
    <row r="339" spans="1:20" ht="15.75">
      <c r="A339" s="13">
        <v>51835</v>
      </c>
      <c r="B339" s="44">
        <v>30</v>
      </c>
      <c r="C339" s="35">
        <v>122.58</v>
      </c>
      <c r="D339" s="35">
        <v>297.94099999999997</v>
      </c>
      <c r="E339" s="41">
        <v>729.47900000000004</v>
      </c>
      <c r="F339" s="35">
        <v>1150</v>
      </c>
      <c r="G339" s="35">
        <v>100</v>
      </c>
      <c r="H339" s="43">
        <v>600</v>
      </c>
      <c r="I339" s="35">
        <v>695</v>
      </c>
      <c r="J339" s="35">
        <v>50</v>
      </c>
      <c r="K339" s="36"/>
      <c r="L339" s="36"/>
      <c r="M339" s="36"/>
      <c r="N339" s="36"/>
      <c r="O339" s="36"/>
      <c r="P339" s="36"/>
      <c r="Q339" s="36"/>
      <c r="R339" s="36"/>
      <c r="S339" s="36"/>
      <c r="T339" s="36"/>
    </row>
    <row r="340" spans="1:20" ht="15.75">
      <c r="A340" s="13">
        <v>51866</v>
      </c>
      <c r="B340" s="44">
        <v>31</v>
      </c>
      <c r="C340" s="35">
        <v>122.58</v>
      </c>
      <c r="D340" s="35">
        <v>297.94099999999997</v>
      </c>
      <c r="E340" s="41">
        <v>729.47900000000004</v>
      </c>
      <c r="F340" s="35">
        <v>1150</v>
      </c>
      <c r="G340" s="35">
        <v>100</v>
      </c>
      <c r="H340" s="43">
        <v>600</v>
      </c>
      <c r="I340" s="35">
        <v>695</v>
      </c>
      <c r="J340" s="35">
        <v>50</v>
      </c>
      <c r="K340" s="36"/>
      <c r="L340" s="36"/>
      <c r="M340" s="36"/>
      <c r="N340" s="36"/>
      <c r="O340" s="36"/>
      <c r="P340" s="36"/>
      <c r="Q340" s="36"/>
      <c r="R340" s="36"/>
      <c r="S340" s="36"/>
      <c r="T340" s="36"/>
    </row>
    <row r="341" spans="1:20" ht="15.75">
      <c r="A341" s="13">
        <v>51897</v>
      </c>
      <c r="B341" s="44">
        <v>31</v>
      </c>
      <c r="C341" s="35">
        <v>122.58</v>
      </c>
      <c r="D341" s="35">
        <v>297.94099999999997</v>
      </c>
      <c r="E341" s="41">
        <v>729.47900000000004</v>
      </c>
      <c r="F341" s="35">
        <v>1150</v>
      </c>
      <c r="G341" s="35">
        <v>100</v>
      </c>
      <c r="H341" s="43">
        <v>600</v>
      </c>
      <c r="I341" s="35">
        <v>695</v>
      </c>
      <c r="J341" s="35">
        <v>50</v>
      </c>
      <c r="K341" s="36"/>
      <c r="L341" s="36"/>
      <c r="M341" s="36"/>
      <c r="N341" s="36"/>
      <c r="O341" s="36"/>
      <c r="P341" s="36"/>
      <c r="Q341" s="36"/>
      <c r="R341" s="36"/>
      <c r="S341" s="36"/>
      <c r="T341" s="36"/>
    </row>
    <row r="342" spans="1:20" ht="15.75">
      <c r="A342" s="13">
        <v>51925</v>
      </c>
      <c r="B342" s="44">
        <v>28</v>
      </c>
      <c r="C342" s="35">
        <v>122.58</v>
      </c>
      <c r="D342" s="35">
        <v>297.94099999999997</v>
      </c>
      <c r="E342" s="41">
        <v>729.47900000000004</v>
      </c>
      <c r="F342" s="35">
        <v>1150</v>
      </c>
      <c r="G342" s="35">
        <v>100</v>
      </c>
      <c r="H342" s="43">
        <v>600</v>
      </c>
      <c r="I342" s="35">
        <v>695</v>
      </c>
      <c r="J342" s="35">
        <v>50</v>
      </c>
      <c r="K342" s="36"/>
      <c r="L342" s="36"/>
      <c r="M342" s="36"/>
      <c r="N342" s="36"/>
      <c r="O342" s="36"/>
      <c r="P342" s="36"/>
      <c r="Q342" s="36"/>
      <c r="R342" s="36"/>
      <c r="S342" s="36"/>
      <c r="T342" s="36"/>
    </row>
    <row r="343" spans="1:20" ht="15.75">
      <c r="A343" s="13">
        <v>51956</v>
      </c>
      <c r="B343" s="44">
        <v>31</v>
      </c>
      <c r="C343" s="35">
        <v>122.58</v>
      </c>
      <c r="D343" s="35">
        <v>297.94099999999997</v>
      </c>
      <c r="E343" s="41">
        <v>729.47900000000004</v>
      </c>
      <c r="F343" s="35">
        <v>1150</v>
      </c>
      <c r="G343" s="35">
        <v>100</v>
      </c>
      <c r="H343" s="43">
        <v>600</v>
      </c>
      <c r="I343" s="35">
        <v>695</v>
      </c>
      <c r="J343" s="35">
        <v>50</v>
      </c>
      <c r="K343" s="36"/>
      <c r="L343" s="36"/>
      <c r="M343" s="36"/>
      <c r="N343" s="36"/>
      <c r="O343" s="36"/>
      <c r="P343" s="36"/>
      <c r="Q343" s="36"/>
      <c r="R343" s="36"/>
      <c r="S343" s="36"/>
      <c r="T343" s="36"/>
    </row>
    <row r="344" spans="1:20" ht="15.75">
      <c r="A344" s="13">
        <v>51986</v>
      </c>
      <c r="B344" s="44">
        <v>30</v>
      </c>
      <c r="C344" s="35">
        <v>141.29300000000001</v>
      </c>
      <c r="D344" s="35">
        <v>267.99299999999999</v>
      </c>
      <c r="E344" s="41">
        <v>829.71400000000006</v>
      </c>
      <c r="F344" s="35">
        <v>1239</v>
      </c>
      <c r="G344" s="35">
        <v>100</v>
      </c>
      <c r="H344" s="43">
        <v>600</v>
      </c>
      <c r="I344" s="35">
        <v>695</v>
      </c>
      <c r="J344" s="35">
        <v>50</v>
      </c>
      <c r="K344" s="36"/>
      <c r="L344" s="36"/>
      <c r="M344" s="36"/>
      <c r="N344" s="36"/>
      <c r="O344" s="36"/>
      <c r="P344" s="36"/>
      <c r="Q344" s="36"/>
      <c r="R344" s="36"/>
      <c r="S344" s="36"/>
      <c r="T344" s="36"/>
    </row>
    <row r="345" spans="1:20" ht="15.75">
      <c r="A345" s="13">
        <v>52017</v>
      </c>
      <c r="B345" s="44">
        <v>31</v>
      </c>
      <c r="C345" s="35">
        <v>194.20500000000001</v>
      </c>
      <c r="D345" s="35">
        <v>267.46600000000001</v>
      </c>
      <c r="E345" s="41">
        <v>812.32899999999995</v>
      </c>
      <c r="F345" s="35">
        <v>1274</v>
      </c>
      <c r="G345" s="35">
        <v>75</v>
      </c>
      <c r="H345" s="43">
        <v>600</v>
      </c>
      <c r="I345" s="35">
        <v>695</v>
      </c>
      <c r="J345" s="35">
        <v>50</v>
      </c>
      <c r="K345" s="36"/>
      <c r="L345" s="36"/>
      <c r="M345" s="36"/>
      <c r="N345" s="36"/>
      <c r="O345" s="36"/>
      <c r="P345" s="36"/>
      <c r="Q345" s="36"/>
      <c r="R345" s="36"/>
      <c r="S345" s="36"/>
      <c r="T345" s="36"/>
    </row>
    <row r="346" spans="1:20" ht="15.75">
      <c r="A346" s="13">
        <v>52047</v>
      </c>
      <c r="B346" s="44">
        <v>30</v>
      </c>
      <c r="C346" s="35">
        <v>194.20500000000001</v>
      </c>
      <c r="D346" s="35">
        <v>267.46600000000001</v>
      </c>
      <c r="E346" s="41">
        <v>812.32899999999995</v>
      </c>
      <c r="F346" s="35">
        <v>1274</v>
      </c>
      <c r="G346" s="35">
        <v>50</v>
      </c>
      <c r="H346" s="43">
        <v>600</v>
      </c>
      <c r="I346" s="35">
        <v>695</v>
      </c>
      <c r="J346" s="35">
        <v>50</v>
      </c>
      <c r="K346" s="36"/>
      <c r="L346" s="36"/>
      <c r="M346" s="36"/>
      <c r="N346" s="36"/>
      <c r="O346" s="36"/>
      <c r="P346" s="36"/>
      <c r="Q346" s="36"/>
      <c r="R346" s="36"/>
      <c r="S346" s="36"/>
      <c r="T346" s="36"/>
    </row>
    <row r="347" spans="1:20" ht="15.75">
      <c r="A347" s="13">
        <v>52078</v>
      </c>
      <c r="B347" s="44">
        <v>31</v>
      </c>
      <c r="C347" s="35">
        <v>194.20500000000001</v>
      </c>
      <c r="D347" s="35">
        <v>267.46600000000001</v>
      </c>
      <c r="E347" s="41">
        <v>812.32899999999995</v>
      </c>
      <c r="F347" s="35">
        <v>1274</v>
      </c>
      <c r="G347" s="35">
        <v>50</v>
      </c>
      <c r="H347" s="43">
        <v>600</v>
      </c>
      <c r="I347" s="35">
        <v>695</v>
      </c>
      <c r="J347" s="35">
        <v>0</v>
      </c>
      <c r="K347" s="36"/>
      <c r="L347" s="36"/>
      <c r="M347" s="36"/>
      <c r="N347" s="36"/>
      <c r="O347" s="36"/>
      <c r="P347" s="36"/>
      <c r="Q347" s="36"/>
      <c r="R347" s="36"/>
      <c r="S347" s="36"/>
      <c r="T347" s="36"/>
    </row>
    <row r="348" spans="1:20" ht="15.75">
      <c r="A348" s="13">
        <v>52109</v>
      </c>
      <c r="B348" s="44">
        <v>31</v>
      </c>
      <c r="C348" s="35">
        <v>194.20500000000001</v>
      </c>
      <c r="D348" s="35">
        <v>267.46600000000001</v>
      </c>
      <c r="E348" s="41">
        <v>812.32899999999995</v>
      </c>
      <c r="F348" s="35">
        <v>1274</v>
      </c>
      <c r="G348" s="35">
        <v>50</v>
      </c>
      <c r="H348" s="43">
        <v>600</v>
      </c>
      <c r="I348" s="35">
        <v>695</v>
      </c>
      <c r="J348" s="35">
        <v>0</v>
      </c>
      <c r="K348" s="36"/>
      <c r="L348" s="36"/>
      <c r="M348" s="36"/>
      <c r="N348" s="36"/>
      <c r="O348" s="36"/>
      <c r="P348" s="36"/>
      <c r="Q348" s="36"/>
      <c r="R348" s="36"/>
      <c r="S348" s="36"/>
      <c r="T348" s="36"/>
    </row>
    <row r="349" spans="1:20" ht="15.75">
      <c r="A349" s="13">
        <v>52139</v>
      </c>
      <c r="B349" s="44">
        <v>30</v>
      </c>
      <c r="C349" s="35">
        <v>194.20500000000001</v>
      </c>
      <c r="D349" s="35">
        <v>267.46600000000001</v>
      </c>
      <c r="E349" s="41">
        <v>812.32899999999995</v>
      </c>
      <c r="F349" s="35">
        <v>1274</v>
      </c>
      <c r="G349" s="35">
        <v>50</v>
      </c>
      <c r="H349" s="43">
        <v>600</v>
      </c>
      <c r="I349" s="35">
        <v>695</v>
      </c>
      <c r="J349" s="35">
        <v>0</v>
      </c>
      <c r="K349" s="36"/>
      <c r="L349" s="36"/>
      <c r="M349" s="36"/>
      <c r="N349" s="36"/>
      <c r="O349" s="36"/>
      <c r="P349" s="36"/>
      <c r="Q349" s="36"/>
      <c r="R349" s="36"/>
      <c r="S349" s="36"/>
      <c r="T349" s="36"/>
    </row>
    <row r="350" spans="1:20" ht="15.75">
      <c r="A350" s="13">
        <v>52170</v>
      </c>
      <c r="B350" s="44">
        <v>31</v>
      </c>
      <c r="C350" s="35">
        <v>131.881</v>
      </c>
      <c r="D350" s="35">
        <v>277.16699999999997</v>
      </c>
      <c r="E350" s="41">
        <v>829.952</v>
      </c>
      <c r="F350" s="35">
        <v>1239</v>
      </c>
      <c r="G350" s="35">
        <v>75</v>
      </c>
      <c r="H350" s="43">
        <v>600</v>
      </c>
      <c r="I350" s="35">
        <v>695</v>
      </c>
      <c r="J350" s="35">
        <v>0</v>
      </c>
      <c r="K350" s="36"/>
      <c r="L350" s="36"/>
      <c r="M350" s="36"/>
      <c r="N350" s="36"/>
      <c r="O350" s="36"/>
      <c r="P350" s="36"/>
      <c r="Q350" s="36"/>
      <c r="R350" s="36"/>
      <c r="S350" s="36"/>
      <c r="T350" s="36"/>
    </row>
    <row r="351" spans="1:20" ht="15.75">
      <c r="A351" s="13">
        <v>52200</v>
      </c>
      <c r="B351" s="44">
        <v>30</v>
      </c>
      <c r="C351" s="35">
        <v>122.58</v>
      </c>
      <c r="D351" s="35">
        <v>297.94099999999997</v>
      </c>
      <c r="E351" s="41">
        <v>729.47900000000004</v>
      </c>
      <c r="F351" s="35">
        <v>1150</v>
      </c>
      <c r="G351" s="35">
        <v>100</v>
      </c>
      <c r="H351" s="43">
        <v>600</v>
      </c>
      <c r="I351" s="35">
        <v>695</v>
      </c>
      <c r="J351" s="35">
        <v>50</v>
      </c>
      <c r="K351" s="36"/>
      <c r="L351" s="36"/>
      <c r="M351" s="36"/>
      <c r="N351" s="36"/>
      <c r="O351" s="36"/>
      <c r="P351" s="36"/>
      <c r="Q351" s="36"/>
      <c r="R351" s="36"/>
      <c r="S351" s="36"/>
      <c r="T351" s="36"/>
    </row>
    <row r="352" spans="1:20" ht="15.75">
      <c r="A352" s="13">
        <v>52231</v>
      </c>
      <c r="B352" s="44">
        <v>31</v>
      </c>
      <c r="C352" s="35">
        <v>122.58</v>
      </c>
      <c r="D352" s="35">
        <v>297.94099999999997</v>
      </c>
      <c r="E352" s="41">
        <v>729.47900000000004</v>
      </c>
      <c r="F352" s="35">
        <v>1150</v>
      </c>
      <c r="G352" s="35">
        <v>100</v>
      </c>
      <c r="H352" s="43">
        <v>600</v>
      </c>
      <c r="I352" s="35">
        <v>695</v>
      </c>
      <c r="J352" s="35">
        <v>50</v>
      </c>
      <c r="K352" s="36"/>
      <c r="L352" s="36"/>
      <c r="M352" s="36"/>
      <c r="N352" s="36"/>
      <c r="O352" s="36"/>
      <c r="P352" s="36"/>
      <c r="Q352" s="36"/>
      <c r="R352" s="36"/>
      <c r="S352" s="36"/>
      <c r="T352" s="36"/>
    </row>
    <row r="353" spans="1:20" ht="15.75">
      <c r="A353" s="13">
        <v>52262</v>
      </c>
      <c r="B353" s="44">
        <v>31</v>
      </c>
      <c r="C353" s="35">
        <v>122.58</v>
      </c>
      <c r="D353" s="35">
        <v>297.94099999999997</v>
      </c>
      <c r="E353" s="41">
        <v>729.47900000000004</v>
      </c>
      <c r="F353" s="35">
        <v>1150</v>
      </c>
      <c r="G353" s="35">
        <v>100</v>
      </c>
      <c r="H353" s="43">
        <v>600</v>
      </c>
      <c r="I353" s="35">
        <v>695</v>
      </c>
      <c r="J353" s="35">
        <v>50</v>
      </c>
      <c r="K353" s="36"/>
      <c r="L353" s="36"/>
      <c r="M353" s="36"/>
      <c r="N353" s="36"/>
      <c r="O353" s="36"/>
      <c r="P353" s="36"/>
      <c r="Q353" s="36"/>
      <c r="R353" s="36"/>
      <c r="S353" s="36"/>
      <c r="T353" s="36"/>
    </row>
    <row r="354" spans="1:20" ht="15.75">
      <c r="A354" s="13">
        <v>52290</v>
      </c>
      <c r="B354" s="44">
        <v>28</v>
      </c>
      <c r="C354" s="35">
        <v>122.58</v>
      </c>
      <c r="D354" s="35">
        <v>297.94099999999997</v>
      </c>
      <c r="E354" s="41">
        <v>729.47900000000004</v>
      </c>
      <c r="F354" s="35">
        <v>1150</v>
      </c>
      <c r="G354" s="35">
        <v>100</v>
      </c>
      <c r="H354" s="43">
        <v>600</v>
      </c>
      <c r="I354" s="35">
        <v>695</v>
      </c>
      <c r="J354" s="35">
        <v>50</v>
      </c>
      <c r="K354" s="36"/>
      <c r="L354" s="36"/>
      <c r="M354" s="36"/>
      <c r="N354" s="36"/>
      <c r="O354" s="36"/>
      <c r="P354" s="36"/>
      <c r="Q354" s="36"/>
      <c r="R354" s="36"/>
      <c r="S354" s="36"/>
      <c r="T354" s="36"/>
    </row>
    <row r="355" spans="1:20" ht="15.75">
      <c r="A355" s="13">
        <v>52321</v>
      </c>
      <c r="B355" s="44">
        <v>31</v>
      </c>
      <c r="C355" s="35">
        <v>122.58</v>
      </c>
      <c r="D355" s="35">
        <v>297.94099999999997</v>
      </c>
      <c r="E355" s="41">
        <v>729.47900000000004</v>
      </c>
      <c r="F355" s="35">
        <v>1150</v>
      </c>
      <c r="G355" s="35">
        <v>100</v>
      </c>
      <c r="H355" s="43">
        <v>600</v>
      </c>
      <c r="I355" s="35">
        <v>695</v>
      </c>
      <c r="J355" s="35">
        <v>50</v>
      </c>
      <c r="K355" s="36"/>
      <c r="L355" s="36"/>
      <c r="M355" s="36"/>
      <c r="N355" s="36"/>
      <c r="O355" s="36"/>
      <c r="P355" s="36"/>
      <c r="Q355" s="36"/>
      <c r="R355" s="36"/>
      <c r="S355" s="36"/>
      <c r="T355" s="36"/>
    </row>
    <row r="356" spans="1:20" ht="15.75">
      <c r="A356" s="13">
        <v>52351</v>
      </c>
      <c r="B356" s="44">
        <v>30</v>
      </c>
      <c r="C356" s="35">
        <v>141.29300000000001</v>
      </c>
      <c r="D356" s="35">
        <v>267.99299999999999</v>
      </c>
      <c r="E356" s="41">
        <v>829.71400000000006</v>
      </c>
      <c r="F356" s="35">
        <v>1239</v>
      </c>
      <c r="G356" s="35">
        <v>100</v>
      </c>
      <c r="H356" s="43">
        <v>600</v>
      </c>
      <c r="I356" s="35">
        <v>695</v>
      </c>
      <c r="J356" s="35">
        <v>50</v>
      </c>
      <c r="K356" s="36"/>
      <c r="L356" s="36"/>
      <c r="M356" s="36"/>
      <c r="N356" s="36"/>
      <c r="O356" s="36"/>
      <c r="P356" s="36"/>
      <c r="Q356" s="36"/>
      <c r="R356" s="36"/>
      <c r="S356" s="36"/>
      <c r="T356" s="36"/>
    </row>
    <row r="357" spans="1:20" ht="15.75">
      <c r="A357" s="13">
        <v>52382</v>
      </c>
      <c r="B357" s="44">
        <v>31</v>
      </c>
      <c r="C357" s="35">
        <v>194.20500000000001</v>
      </c>
      <c r="D357" s="35">
        <v>267.46600000000001</v>
      </c>
      <c r="E357" s="41">
        <v>812.32899999999995</v>
      </c>
      <c r="F357" s="35">
        <v>1274</v>
      </c>
      <c r="G357" s="35">
        <v>75</v>
      </c>
      <c r="H357" s="43">
        <v>600</v>
      </c>
      <c r="I357" s="35">
        <v>695</v>
      </c>
      <c r="J357" s="35">
        <v>50</v>
      </c>
      <c r="K357" s="36"/>
      <c r="L357" s="36"/>
      <c r="M357" s="36"/>
      <c r="N357" s="36"/>
      <c r="O357" s="36"/>
      <c r="P357" s="36"/>
      <c r="Q357" s="36"/>
      <c r="R357" s="36"/>
      <c r="S357" s="36"/>
      <c r="T357" s="36"/>
    </row>
    <row r="358" spans="1:20" ht="15.75">
      <c r="A358" s="13">
        <v>52412</v>
      </c>
      <c r="B358" s="44">
        <v>30</v>
      </c>
      <c r="C358" s="35">
        <v>194.20500000000001</v>
      </c>
      <c r="D358" s="35">
        <v>267.46600000000001</v>
      </c>
      <c r="E358" s="41">
        <v>812.32899999999995</v>
      </c>
      <c r="F358" s="35">
        <v>1274</v>
      </c>
      <c r="G358" s="35">
        <v>50</v>
      </c>
      <c r="H358" s="43">
        <v>600</v>
      </c>
      <c r="I358" s="35">
        <v>695</v>
      </c>
      <c r="J358" s="35">
        <v>50</v>
      </c>
      <c r="K358" s="36"/>
      <c r="L358" s="36"/>
      <c r="M358" s="36"/>
      <c r="N358" s="36"/>
      <c r="O358" s="36"/>
      <c r="P358" s="36"/>
      <c r="Q358" s="36"/>
      <c r="R358" s="36"/>
      <c r="S358" s="36"/>
      <c r="T358" s="36"/>
    </row>
    <row r="359" spans="1:20" ht="15.75">
      <c r="A359" s="13">
        <v>52443</v>
      </c>
      <c r="B359" s="44">
        <v>31</v>
      </c>
      <c r="C359" s="35">
        <v>194.20500000000001</v>
      </c>
      <c r="D359" s="35">
        <v>267.46600000000001</v>
      </c>
      <c r="E359" s="41">
        <v>812.32899999999995</v>
      </c>
      <c r="F359" s="35">
        <v>1274</v>
      </c>
      <c r="G359" s="35">
        <v>50</v>
      </c>
      <c r="H359" s="43">
        <v>600</v>
      </c>
      <c r="I359" s="35">
        <v>695</v>
      </c>
      <c r="J359" s="35">
        <v>0</v>
      </c>
      <c r="K359" s="36"/>
      <c r="L359" s="36"/>
      <c r="M359" s="36"/>
      <c r="N359" s="36"/>
      <c r="O359" s="36"/>
      <c r="P359" s="36"/>
      <c r="Q359" s="36"/>
      <c r="R359" s="36"/>
      <c r="S359" s="36"/>
      <c r="T359" s="36"/>
    </row>
    <row r="360" spans="1:20" ht="15.75">
      <c r="A360" s="13">
        <v>52474</v>
      </c>
      <c r="B360" s="44">
        <v>31</v>
      </c>
      <c r="C360" s="35">
        <v>194.20500000000001</v>
      </c>
      <c r="D360" s="35">
        <v>267.46600000000001</v>
      </c>
      <c r="E360" s="41">
        <v>812.32899999999995</v>
      </c>
      <c r="F360" s="35">
        <v>1274</v>
      </c>
      <c r="G360" s="35">
        <v>50</v>
      </c>
      <c r="H360" s="43">
        <v>600</v>
      </c>
      <c r="I360" s="35">
        <v>695</v>
      </c>
      <c r="J360" s="35">
        <v>0</v>
      </c>
      <c r="K360" s="36"/>
      <c r="L360" s="36"/>
      <c r="M360" s="36"/>
      <c r="N360" s="36"/>
      <c r="O360" s="36"/>
      <c r="P360" s="36"/>
      <c r="Q360" s="36"/>
      <c r="R360" s="36"/>
      <c r="S360" s="36"/>
      <c r="T360" s="36"/>
    </row>
    <row r="361" spans="1:20" ht="15.75">
      <c r="A361" s="13">
        <v>52504</v>
      </c>
      <c r="B361" s="44">
        <v>30</v>
      </c>
      <c r="C361" s="35">
        <v>194.20500000000001</v>
      </c>
      <c r="D361" s="35">
        <v>267.46600000000001</v>
      </c>
      <c r="E361" s="41">
        <v>812.32899999999995</v>
      </c>
      <c r="F361" s="35">
        <v>1274</v>
      </c>
      <c r="G361" s="35">
        <v>50</v>
      </c>
      <c r="H361" s="43">
        <v>600</v>
      </c>
      <c r="I361" s="35">
        <v>695</v>
      </c>
      <c r="J361" s="35">
        <v>0</v>
      </c>
      <c r="K361" s="36"/>
      <c r="L361" s="36"/>
      <c r="M361" s="36"/>
      <c r="N361" s="36"/>
      <c r="O361" s="36"/>
      <c r="P361" s="36"/>
      <c r="Q361" s="36"/>
      <c r="R361" s="36"/>
      <c r="S361" s="36"/>
      <c r="T361" s="36"/>
    </row>
    <row r="362" spans="1:20" ht="15.75">
      <c r="A362" s="13">
        <v>52535</v>
      </c>
      <c r="B362" s="44">
        <v>31</v>
      </c>
      <c r="C362" s="35">
        <v>131.881</v>
      </c>
      <c r="D362" s="35">
        <v>277.16699999999997</v>
      </c>
      <c r="E362" s="41">
        <v>829.952</v>
      </c>
      <c r="F362" s="35">
        <v>1239</v>
      </c>
      <c r="G362" s="35">
        <v>75</v>
      </c>
      <c r="H362" s="43">
        <v>600</v>
      </c>
      <c r="I362" s="35">
        <v>695</v>
      </c>
      <c r="J362" s="35">
        <v>0</v>
      </c>
      <c r="K362" s="36"/>
      <c r="L362" s="36"/>
      <c r="M362" s="36"/>
      <c r="N362" s="36"/>
      <c r="O362" s="36"/>
      <c r="P362" s="36"/>
      <c r="Q362" s="36"/>
      <c r="R362" s="36"/>
      <c r="S362" s="36"/>
      <c r="T362" s="36"/>
    </row>
    <row r="363" spans="1:20" ht="15.75">
      <c r="A363" s="13">
        <v>52565</v>
      </c>
      <c r="B363" s="44">
        <v>30</v>
      </c>
      <c r="C363" s="35">
        <v>122.58</v>
      </c>
      <c r="D363" s="35">
        <v>297.94099999999997</v>
      </c>
      <c r="E363" s="41">
        <v>729.47900000000004</v>
      </c>
      <c r="F363" s="35">
        <v>1150</v>
      </c>
      <c r="G363" s="35">
        <v>100</v>
      </c>
      <c r="H363" s="43">
        <v>600</v>
      </c>
      <c r="I363" s="35">
        <v>695</v>
      </c>
      <c r="J363" s="35">
        <v>50</v>
      </c>
      <c r="K363" s="36"/>
      <c r="L363" s="36"/>
      <c r="M363" s="36"/>
      <c r="N363" s="36"/>
      <c r="O363" s="36"/>
      <c r="P363" s="36"/>
      <c r="Q363" s="36"/>
      <c r="R363" s="36"/>
      <c r="S363" s="36"/>
      <c r="T363" s="36"/>
    </row>
    <row r="364" spans="1:20" ht="15.75">
      <c r="A364" s="13">
        <v>52596</v>
      </c>
      <c r="B364" s="44">
        <v>31</v>
      </c>
      <c r="C364" s="35">
        <v>122.58</v>
      </c>
      <c r="D364" s="35">
        <v>297.94099999999997</v>
      </c>
      <c r="E364" s="41">
        <v>729.47900000000004</v>
      </c>
      <c r="F364" s="35">
        <v>1150</v>
      </c>
      <c r="G364" s="35">
        <v>100</v>
      </c>
      <c r="H364" s="43">
        <v>600</v>
      </c>
      <c r="I364" s="35">
        <v>695</v>
      </c>
      <c r="J364" s="35">
        <v>50</v>
      </c>
      <c r="K364" s="36"/>
      <c r="L364" s="36"/>
      <c r="M364" s="36"/>
      <c r="N364" s="36"/>
      <c r="O364" s="36"/>
      <c r="P364" s="36"/>
      <c r="Q364" s="36"/>
      <c r="R364" s="36"/>
      <c r="S364" s="36"/>
      <c r="T364" s="36"/>
    </row>
    <row r="365" spans="1:20" ht="15.75">
      <c r="A365" s="13">
        <v>52627</v>
      </c>
      <c r="B365" s="44">
        <v>31</v>
      </c>
      <c r="C365" s="35">
        <v>122.58</v>
      </c>
      <c r="D365" s="35">
        <v>297.94099999999997</v>
      </c>
      <c r="E365" s="41">
        <v>729.47900000000004</v>
      </c>
      <c r="F365" s="35">
        <v>1150</v>
      </c>
      <c r="G365" s="35">
        <v>100</v>
      </c>
      <c r="H365" s="43">
        <v>600</v>
      </c>
      <c r="I365" s="35">
        <v>695</v>
      </c>
      <c r="J365" s="35">
        <v>50</v>
      </c>
      <c r="K365" s="36"/>
      <c r="L365" s="36"/>
      <c r="M365" s="36"/>
      <c r="N365" s="36"/>
      <c r="O365" s="36"/>
      <c r="P365" s="36"/>
      <c r="Q365" s="36"/>
      <c r="R365" s="36"/>
      <c r="S365" s="36"/>
      <c r="T365" s="36"/>
    </row>
    <row r="366" spans="1:20" ht="15.75">
      <c r="A366" s="13">
        <v>52655</v>
      </c>
      <c r="B366" s="44">
        <v>29</v>
      </c>
      <c r="C366" s="35">
        <v>122.58</v>
      </c>
      <c r="D366" s="35">
        <v>297.94099999999997</v>
      </c>
      <c r="E366" s="41">
        <v>729.47900000000004</v>
      </c>
      <c r="F366" s="35">
        <v>1150</v>
      </c>
      <c r="G366" s="35">
        <v>100</v>
      </c>
      <c r="H366" s="43">
        <v>600</v>
      </c>
      <c r="I366" s="35">
        <v>695</v>
      </c>
      <c r="J366" s="35">
        <v>50</v>
      </c>
      <c r="K366" s="36"/>
      <c r="L366" s="36"/>
      <c r="M366" s="36"/>
      <c r="N366" s="36"/>
      <c r="O366" s="36"/>
      <c r="P366" s="36"/>
      <c r="Q366" s="36"/>
      <c r="R366" s="36"/>
      <c r="S366" s="36"/>
      <c r="T366" s="36"/>
    </row>
    <row r="367" spans="1:20" ht="15.75">
      <c r="A367" s="13">
        <v>52687</v>
      </c>
      <c r="B367" s="44">
        <v>31</v>
      </c>
      <c r="C367" s="35">
        <v>122.58</v>
      </c>
      <c r="D367" s="35">
        <v>297.94099999999997</v>
      </c>
      <c r="E367" s="41">
        <v>729.47900000000004</v>
      </c>
      <c r="F367" s="35">
        <v>1150</v>
      </c>
      <c r="G367" s="35">
        <v>100</v>
      </c>
      <c r="H367" s="43">
        <v>600</v>
      </c>
      <c r="I367" s="35">
        <v>695</v>
      </c>
      <c r="J367" s="35">
        <v>50</v>
      </c>
      <c r="K367" s="36"/>
      <c r="L367" s="36"/>
      <c r="M367" s="36"/>
      <c r="N367" s="36"/>
      <c r="O367" s="36"/>
      <c r="P367" s="36"/>
      <c r="Q367" s="36"/>
      <c r="R367" s="36"/>
      <c r="S367" s="36"/>
      <c r="T367" s="36"/>
    </row>
    <row r="368" spans="1:20" ht="15.75">
      <c r="A368" s="13">
        <v>52717</v>
      </c>
      <c r="B368" s="44">
        <v>30</v>
      </c>
      <c r="C368" s="35">
        <v>141.29300000000001</v>
      </c>
      <c r="D368" s="35">
        <v>267.99299999999999</v>
      </c>
      <c r="E368" s="41">
        <v>829.71400000000006</v>
      </c>
      <c r="F368" s="35">
        <v>1239</v>
      </c>
      <c r="G368" s="35">
        <v>100</v>
      </c>
      <c r="H368" s="43">
        <v>600</v>
      </c>
      <c r="I368" s="35">
        <v>695</v>
      </c>
      <c r="J368" s="35">
        <v>50</v>
      </c>
      <c r="K368" s="36"/>
      <c r="L368" s="36"/>
      <c r="M368" s="36"/>
      <c r="N368" s="36"/>
      <c r="O368" s="36"/>
      <c r="P368" s="36"/>
      <c r="Q368" s="36"/>
      <c r="R368" s="36"/>
      <c r="S368" s="36"/>
      <c r="T368" s="36"/>
    </row>
    <row r="369" spans="1:20" ht="15.75">
      <c r="A369" s="13">
        <v>52748</v>
      </c>
      <c r="B369" s="44">
        <v>31</v>
      </c>
      <c r="C369" s="35">
        <v>194.20500000000001</v>
      </c>
      <c r="D369" s="35">
        <v>267.46600000000001</v>
      </c>
      <c r="E369" s="41">
        <v>812.32899999999995</v>
      </c>
      <c r="F369" s="35">
        <v>1274</v>
      </c>
      <c r="G369" s="35">
        <v>75</v>
      </c>
      <c r="H369" s="43">
        <v>600</v>
      </c>
      <c r="I369" s="35">
        <v>695</v>
      </c>
      <c r="J369" s="35">
        <v>50</v>
      </c>
      <c r="K369" s="36"/>
      <c r="L369" s="36"/>
      <c r="M369" s="36"/>
      <c r="N369" s="36"/>
      <c r="O369" s="36"/>
      <c r="P369" s="36"/>
      <c r="Q369" s="36"/>
      <c r="R369" s="36"/>
      <c r="S369" s="36"/>
      <c r="T369" s="36"/>
    </row>
    <row r="370" spans="1:20" ht="15.75">
      <c r="A370" s="13">
        <v>52778</v>
      </c>
      <c r="B370" s="44">
        <v>30</v>
      </c>
      <c r="C370" s="35">
        <v>194.20500000000001</v>
      </c>
      <c r="D370" s="35">
        <v>267.46600000000001</v>
      </c>
      <c r="E370" s="41">
        <v>812.32899999999995</v>
      </c>
      <c r="F370" s="35">
        <v>1274</v>
      </c>
      <c r="G370" s="35">
        <v>50</v>
      </c>
      <c r="H370" s="43">
        <v>600</v>
      </c>
      <c r="I370" s="35">
        <v>695</v>
      </c>
      <c r="J370" s="35">
        <v>50</v>
      </c>
      <c r="K370" s="36"/>
      <c r="L370" s="36"/>
      <c r="M370" s="36"/>
      <c r="N370" s="36"/>
      <c r="O370" s="36"/>
      <c r="P370" s="36"/>
      <c r="Q370" s="36"/>
      <c r="R370" s="36"/>
      <c r="S370" s="36"/>
      <c r="T370" s="36"/>
    </row>
    <row r="371" spans="1:20" ht="15.75">
      <c r="A371" s="13">
        <v>52809</v>
      </c>
      <c r="B371" s="44">
        <v>31</v>
      </c>
      <c r="C371" s="35">
        <v>194.20500000000001</v>
      </c>
      <c r="D371" s="35">
        <v>267.46600000000001</v>
      </c>
      <c r="E371" s="41">
        <v>812.32899999999995</v>
      </c>
      <c r="F371" s="35">
        <v>1274</v>
      </c>
      <c r="G371" s="35">
        <v>50</v>
      </c>
      <c r="H371" s="43">
        <v>600</v>
      </c>
      <c r="I371" s="35">
        <v>695</v>
      </c>
      <c r="J371" s="35">
        <v>0</v>
      </c>
      <c r="K371" s="36"/>
      <c r="L371" s="36"/>
      <c r="M371" s="36"/>
      <c r="N371" s="36"/>
      <c r="O371" s="36"/>
      <c r="P371" s="36"/>
      <c r="Q371" s="36"/>
      <c r="R371" s="36"/>
      <c r="S371" s="36"/>
      <c r="T371" s="36"/>
    </row>
    <row r="372" spans="1:20" ht="15.75">
      <c r="A372" s="13">
        <v>52840</v>
      </c>
      <c r="B372" s="44">
        <v>31</v>
      </c>
      <c r="C372" s="35">
        <v>194.20500000000001</v>
      </c>
      <c r="D372" s="35">
        <v>267.46600000000001</v>
      </c>
      <c r="E372" s="41">
        <v>812.32899999999995</v>
      </c>
      <c r="F372" s="35">
        <v>1274</v>
      </c>
      <c r="G372" s="35">
        <v>50</v>
      </c>
      <c r="H372" s="43">
        <v>600</v>
      </c>
      <c r="I372" s="35">
        <v>695</v>
      </c>
      <c r="J372" s="35">
        <v>0</v>
      </c>
      <c r="K372" s="36"/>
      <c r="L372" s="36"/>
      <c r="M372" s="36"/>
      <c r="N372" s="36"/>
      <c r="O372" s="36"/>
      <c r="P372" s="36"/>
      <c r="Q372" s="36"/>
      <c r="R372" s="36"/>
      <c r="S372" s="36"/>
      <c r="T372" s="36"/>
    </row>
    <row r="373" spans="1:20" ht="15.75">
      <c r="A373" s="13">
        <v>52870</v>
      </c>
      <c r="B373" s="44">
        <v>30</v>
      </c>
      <c r="C373" s="35">
        <v>194.20500000000001</v>
      </c>
      <c r="D373" s="35">
        <v>267.46600000000001</v>
      </c>
      <c r="E373" s="41">
        <v>812.32899999999995</v>
      </c>
      <c r="F373" s="35">
        <v>1274</v>
      </c>
      <c r="G373" s="35">
        <v>50</v>
      </c>
      <c r="H373" s="43">
        <v>600</v>
      </c>
      <c r="I373" s="35">
        <v>695</v>
      </c>
      <c r="J373" s="35">
        <v>0</v>
      </c>
      <c r="K373" s="36"/>
      <c r="L373" s="36"/>
      <c r="M373" s="36"/>
      <c r="N373" s="36"/>
      <c r="O373" s="36"/>
      <c r="P373" s="36"/>
      <c r="Q373" s="36"/>
      <c r="R373" s="36"/>
      <c r="S373" s="36"/>
      <c r="T373" s="36"/>
    </row>
    <row r="374" spans="1:20" ht="15.75">
      <c r="A374" s="13">
        <v>52901</v>
      </c>
      <c r="B374" s="44">
        <v>31</v>
      </c>
      <c r="C374" s="35">
        <v>131.881</v>
      </c>
      <c r="D374" s="35">
        <v>277.16699999999997</v>
      </c>
      <c r="E374" s="41">
        <v>829.952</v>
      </c>
      <c r="F374" s="35">
        <v>1239</v>
      </c>
      <c r="G374" s="35">
        <v>75</v>
      </c>
      <c r="H374" s="43">
        <v>600</v>
      </c>
      <c r="I374" s="35">
        <v>695</v>
      </c>
      <c r="J374" s="35">
        <v>0</v>
      </c>
      <c r="K374" s="36"/>
      <c r="L374" s="36"/>
      <c r="M374" s="36"/>
      <c r="N374" s="36"/>
      <c r="O374" s="36"/>
      <c r="P374" s="36"/>
      <c r="Q374" s="36"/>
      <c r="R374" s="36"/>
      <c r="S374" s="36"/>
      <c r="T374" s="36"/>
    </row>
    <row r="375" spans="1:20" ht="15.75">
      <c r="A375" s="13">
        <v>52931</v>
      </c>
      <c r="B375" s="44">
        <v>30</v>
      </c>
      <c r="C375" s="35">
        <v>122.58</v>
      </c>
      <c r="D375" s="35">
        <v>297.94099999999997</v>
      </c>
      <c r="E375" s="41">
        <v>729.47900000000004</v>
      </c>
      <c r="F375" s="35">
        <v>1150</v>
      </c>
      <c r="G375" s="35">
        <v>100</v>
      </c>
      <c r="H375" s="43">
        <v>600</v>
      </c>
      <c r="I375" s="35">
        <v>695</v>
      </c>
      <c r="J375" s="35">
        <v>50</v>
      </c>
      <c r="K375" s="36"/>
      <c r="L375" s="36"/>
      <c r="M375" s="36"/>
      <c r="N375" s="36"/>
      <c r="O375" s="36"/>
      <c r="P375" s="36"/>
      <c r="Q375" s="36"/>
      <c r="R375" s="36"/>
      <c r="S375" s="36"/>
      <c r="T375" s="36"/>
    </row>
    <row r="376" spans="1:20" ht="15.75">
      <c r="A376" s="13">
        <v>52962</v>
      </c>
      <c r="B376" s="44">
        <v>31</v>
      </c>
      <c r="C376" s="35">
        <v>122.58</v>
      </c>
      <c r="D376" s="35">
        <v>297.94099999999997</v>
      </c>
      <c r="E376" s="41">
        <v>729.47900000000004</v>
      </c>
      <c r="F376" s="35">
        <v>1150</v>
      </c>
      <c r="G376" s="35">
        <v>100</v>
      </c>
      <c r="H376" s="43">
        <v>600</v>
      </c>
      <c r="I376" s="35">
        <v>695</v>
      </c>
      <c r="J376" s="35">
        <v>50</v>
      </c>
      <c r="K376" s="36"/>
      <c r="L376" s="36"/>
      <c r="M376" s="36"/>
      <c r="N376" s="36"/>
      <c r="O376" s="36"/>
      <c r="P376" s="36"/>
      <c r="Q376" s="36"/>
      <c r="R376" s="36"/>
      <c r="S376" s="36"/>
      <c r="T376" s="36"/>
    </row>
    <row r="377" spans="1:20" ht="15.75">
      <c r="A377" s="13">
        <v>52993</v>
      </c>
      <c r="B377" s="44">
        <v>31</v>
      </c>
      <c r="C377" s="35">
        <v>122.58</v>
      </c>
      <c r="D377" s="35">
        <v>297.94099999999997</v>
      </c>
      <c r="E377" s="41">
        <v>729.47900000000004</v>
      </c>
      <c r="F377" s="35">
        <v>1150</v>
      </c>
      <c r="G377" s="35">
        <v>100</v>
      </c>
      <c r="H377" s="43">
        <v>600</v>
      </c>
      <c r="I377" s="35">
        <v>695</v>
      </c>
      <c r="J377" s="35">
        <v>50</v>
      </c>
      <c r="K377" s="36"/>
      <c r="L377" s="36"/>
      <c r="M377" s="36"/>
      <c r="N377" s="36"/>
      <c r="O377" s="36"/>
      <c r="P377" s="36"/>
      <c r="Q377" s="36"/>
      <c r="R377" s="36"/>
      <c r="S377" s="36"/>
      <c r="T377" s="36"/>
    </row>
    <row r="378" spans="1:20" ht="15.75">
      <c r="A378" s="13">
        <v>53021</v>
      </c>
      <c r="B378" s="44">
        <v>28</v>
      </c>
      <c r="C378" s="35">
        <v>122.58</v>
      </c>
      <c r="D378" s="35">
        <v>297.94099999999997</v>
      </c>
      <c r="E378" s="41">
        <v>729.47900000000004</v>
      </c>
      <c r="F378" s="35">
        <v>1150</v>
      </c>
      <c r="G378" s="35">
        <v>100</v>
      </c>
      <c r="H378" s="43">
        <v>600</v>
      </c>
      <c r="I378" s="35">
        <v>695</v>
      </c>
      <c r="J378" s="35">
        <v>50</v>
      </c>
      <c r="K378" s="36"/>
      <c r="L378" s="36"/>
      <c r="M378" s="36"/>
      <c r="N378" s="36"/>
      <c r="O378" s="36"/>
      <c r="P378" s="36"/>
      <c r="Q378" s="36"/>
      <c r="R378" s="36"/>
      <c r="S378" s="36"/>
      <c r="T378" s="36"/>
    </row>
    <row r="379" spans="1:20" ht="15.75">
      <c r="A379" s="13">
        <v>53052</v>
      </c>
      <c r="B379" s="44">
        <v>31</v>
      </c>
      <c r="C379" s="35">
        <v>122.58</v>
      </c>
      <c r="D379" s="35">
        <v>297.94099999999997</v>
      </c>
      <c r="E379" s="41">
        <v>729.47900000000004</v>
      </c>
      <c r="F379" s="35">
        <v>1150</v>
      </c>
      <c r="G379" s="35">
        <v>100</v>
      </c>
      <c r="H379" s="43">
        <v>600</v>
      </c>
      <c r="I379" s="35">
        <v>695</v>
      </c>
      <c r="J379" s="35">
        <v>50</v>
      </c>
      <c r="K379" s="36"/>
      <c r="L379" s="36"/>
      <c r="M379" s="36"/>
      <c r="N379" s="36"/>
      <c r="O379" s="36"/>
      <c r="P379" s="36"/>
      <c r="Q379" s="36"/>
      <c r="R379" s="36"/>
      <c r="S379" s="36"/>
      <c r="T379" s="36"/>
    </row>
    <row r="380" spans="1:20" ht="15.75">
      <c r="A380" s="13">
        <v>53082</v>
      </c>
      <c r="B380" s="44">
        <v>30</v>
      </c>
      <c r="C380" s="35">
        <v>141.29300000000001</v>
      </c>
      <c r="D380" s="35">
        <v>267.99299999999999</v>
      </c>
      <c r="E380" s="41">
        <v>829.71400000000006</v>
      </c>
      <c r="F380" s="35">
        <v>1239</v>
      </c>
      <c r="G380" s="35">
        <v>100</v>
      </c>
      <c r="H380" s="43">
        <v>600</v>
      </c>
      <c r="I380" s="35">
        <v>695</v>
      </c>
      <c r="J380" s="35">
        <v>50</v>
      </c>
      <c r="K380" s="36"/>
      <c r="L380" s="36"/>
      <c r="M380" s="36"/>
      <c r="N380" s="36"/>
      <c r="O380" s="36"/>
      <c r="P380" s="36"/>
      <c r="Q380" s="36"/>
      <c r="R380" s="36"/>
      <c r="S380" s="36"/>
      <c r="T380" s="36"/>
    </row>
    <row r="381" spans="1:20" ht="15.75">
      <c r="A381" s="13">
        <v>53113</v>
      </c>
      <c r="B381" s="44">
        <v>31</v>
      </c>
      <c r="C381" s="35">
        <v>194.20500000000001</v>
      </c>
      <c r="D381" s="35">
        <v>267.46600000000001</v>
      </c>
      <c r="E381" s="41">
        <v>812.32899999999995</v>
      </c>
      <c r="F381" s="35">
        <v>1274</v>
      </c>
      <c r="G381" s="35">
        <v>75</v>
      </c>
      <c r="H381" s="43">
        <v>600</v>
      </c>
      <c r="I381" s="35">
        <v>695</v>
      </c>
      <c r="J381" s="35">
        <v>50</v>
      </c>
      <c r="K381" s="36"/>
      <c r="L381" s="36"/>
      <c r="M381" s="36"/>
      <c r="N381" s="36"/>
      <c r="O381" s="36"/>
      <c r="P381" s="36"/>
      <c r="Q381" s="36"/>
      <c r="R381" s="36"/>
      <c r="S381" s="36"/>
      <c r="T381" s="36"/>
    </row>
    <row r="382" spans="1:20" ht="15.75">
      <c r="A382" s="13">
        <v>53143</v>
      </c>
      <c r="B382" s="44">
        <v>30</v>
      </c>
      <c r="C382" s="35">
        <v>194.20500000000001</v>
      </c>
      <c r="D382" s="35">
        <v>267.46600000000001</v>
      </c>
      <c r="E382" s="41">
        <v>812.32899999999995</v>
      </c>
      <c r="F382" s="35">
        <v>1274</v>
      </c>
      <c r="G382" s="35">
        <v>50</v>
      </c>
      <c r="H382" s="43">
        <v>600</v>
      </c>
      <c r="I382" s="35">
        <v>695</v>
      </c>
      <c r="J382" s="35">
        <v>50</v>
      </c>
      <c r="K382" s="36"/>
      <c r="L382" s="36"/>
      <c r="M382" s="36"/>
      <c r="N382" s="36"/>
      <c r="O382" s="36"/>
      <c r="P382" s="36"/>
      <c r="Q382" s="36"/>
      <c r="R382" s="36"/>
      <c r="S382" s="36"/>
      <c r="T382" s="36"/>
    </row>
    <row r="383" spans="1:20" ht="15.75">
      <c r="A383" s="13">
        <v>53174</v>
      </c>
      <c r="B383" s="44">
        <v>31</v>
      </c>
      <c r="C383" s="35">
        <v>194.20500000000001</v>
      </c>
      <c r="D383" s="35">
        <v>267.46600000000001</v>
      </c>
      <c r="E383" s="41">
        <v>812.32899999999995</v>
      </c>
      <c r="F383" s="35">
        <v>1274</v>
      </c>
      <c r="G383" s="35">
        <v>50</v>
      </c>
      <c r="H383" s="43">
        <v>600</v>
      </c>
      <c r="I383" s="35">
        <v>695</v>
      </c>
      <c r="J383" s="35">
        <v>0</v>
      </c>
      <c r="K383" s="36"/>
      <c r="L383" s="36"/>
      <c r="M383" s="36"/>
      <c r="N383" s="36"/>
      <c r="O383" s="36"/>
      <c r="P383" s="36"/>
      <c r="Q383" s="36"/>
      <c r="R383" s="36"/>
      <c r="S383" s="36"/>
      <c r="T383" s="36"/>
    </row>
    <row r="384" spans="1:20" ht="15.75">
      <c r="A384" s="13">
        <v>53205</v>
      </c>
      <c r="B384" s="44">
        <v>31</v>
      </c>
      <c r="C384" s="35">
        <v>194.20500000000001</v>
      </c>
      <c r="D384" s="35">
        <v>267.46600000000001</v>
      </c>
      <c r="E384" s="41">
        <v>812.32899999999995</v>
      </c>
      <c r="F384" s="35">
        <v>1274</v>
      </c>
      <c r="G384" s="35">
        <v>50</v>
      </c>
      <c r="H384" s="43">
        <v>600</v>
      </c>
      <c r="I384" s="35">
        <v>695</v>
      </c>
      <c r="J384" s="35">
        <v>0</v>
      </c>
      <c r="K384" s="36"/>
      <c r="L384" s="36"/>
      <c r="M384" s="36"/>
      <c r="N384" s="36"/>
      <c r="O384" s="36"/>
      <c r="P384" s="36"/>
      <c r="Q384" s="36"/>
      <c r="R384" s="36"/>
      <c r="S384" s="36"/>
      <c r="T384" s="36"/>
    </row>
    <row r="385" spans="1:20" ht="15.75">
      <c r="A385" s="13">
        <v>53235</v>
      </c>
      <c r="B385" s="44">
        <v>30</v>
      </c>
      <c r="C385" s="35">
        <v>194.20500000000001</v>
      </c>
      <c r="D385" s="35">
        <v>267.46600000000001</v>
      </c>
      <c r="E385" s="41">
        <v>812.32899999999995</v>
      </c>
      <c r="F385" s="35">
        <v>1274</v>
      </c>
      <c r="G385" s="35">
        <v>50</v>
      </c>
      <c r="H385" s="43">
        <v>600</v>
      </c>
      <c r="I385" s="35">
        <v>695</v>
      </c>
      <c r="J385" s="35">
        <v>0</v>
      </c>
      <c r="K385" s="36"/>
      <c r="L385" s="36"/>
      <c r="M385" s="36"/>
      <c r="N385" s="36"/>
      <c r="O385" s="36"/>
      <c r="P385" s="36"/>
      <c r="Q385" s="36"/>
      <c r="R385" s="36"/>
      <c r="S385" s="36"/>
      <c r="T385" s="36"/>
    </row>
    <row r="386" spans="1:20" ht="15.75">
      <c r="A386" s="13">
        <v>53266</v>
      </c>
      <c r="B386" s="44">
        <v>31</v>
      </c>
      <c r="C386" s="35">
        <v>131.881</v>
      </c>
      <c r="D386" s="35">
        <v>277.16699999999997</v>
      </c>
      <c r="E386" s="41">
        <v>829.952</v>
      </c>
      <c r="F386" s="35">
        <v>1239</v>
      </c>
      <c r="G386" s="35">
        <v>75</v>
      </c>
      <c r="H386" s="43">
        <v>600</v>
      </c>
      <c r="I386" s="35">
        <v>695</v>
      </c>
      <c r="J386" s="35">
        <v>0</v>
      </c>
      <c r="K386" s="36"/>
      <c r="L386" s="36"/>
      <c r="M386" s="36"/>
      <c r="N386" s="36"/>
      <c r="O386" s="36"/>
      <c r="P386" s="36"/>
      <c r="Q386" s="36"/>
      <c r="R386" s="36"/>
      <c r="S386" s="36"/>
      <c r="T386" s="36"/>
    </row>
    <row r="387" spans="1:20" ht="15.75">
      <c r="A387" s="13">
        <v>53296</v>
      </c>
      <c r="B387" s="44">
        <v>30</v>
      </c>
      <c r="C387" s="35">
        <v>122.58</v>
      </c>
      <c r="D387" s="35">
        <v>297.94099999999997</v>
      </c>
      <c r="E387" s="41">
        <v>729.47900000000004</v>
      </c>
      <c r="F387" s="35">
        <v>1150</v>
      </c>
      <c r="G387" s="35">
        <v>100</v>
      </c>
      <c r="H387" s="43">
        <v>600</v>
      </c>
      <c r="I387" s="35">
        <v>695</v>
      </c>
      <c r="J387" s="35">
        <v>50</v>
      </c>
      <c r="K387" s="36"/>
      <c r="L387" s="36"/>
      <c r="M387" s="36"/>
      <c r="N387" s="36"/>
      <c r="O387" s="36"/>
      <c r="P387" s="36"/>
      <c r="Q387" s="36"/>
      <c r="R387" s="36"/>
      <c r="S387" s="36"/>
      <c r="T387" s="36"/>
    </row>
    <row r="388" spans="1:20" ht="15.75">
      <c r="A388" s="13">
        <v>53327</v>
      </c>
      <c r="B388" s="44">
        <v>31</v>
      </c>
      <c r="C388" s="35">
        <v>122.58</v>
      </c>
      <c r="D388" s="35">
        <v>297.94099999999997</v>
      </c>
      <c r="E388" s="41">
        <v>729.47900000000004</v>
      </c>
      <c r="F388" s="35">
        <v>1150</v>
      </c>
      <c r="G388" s="35">
        <v>100</v>
      </c>
      <c r="H388" s="43">
        <v>600</v>
      </c>
      <c r="I388" s="35">
        <v>695</v>
      </c>
      <c r="J388" s="35">
        <v>50</v>
      </c>
      <c r="K388" s="36"/>
      <c r="L388" s="36"/>
      <c r="M388" s="36"/>
      <c r="N388" s="36"/>
      <c r="O388" s="36"/>
      <c r="P388" s="36"/>
      <c r="Q388" s="36"/>
      <c r="R388" s="36"/>
      <c r="S388" s="36"/>
      <c r="T388" s="36"/>
    </row>
    <row r="389" spans="1:20" ht="15.75">
      <c r="A389" s="13">
        <v>53358</v>
      </c>
      <c r="B389" s="44">
        <v>31</v>
      </c>
      <c r="C389" s="35">
        <v>122.58</v>
      </c>
      <c r="D389" s="35">
        <v>297.94099999999997</v>
      </c>
      <c r="E389" s="41">
        <v>729.47900000000004</v>
      </c>
      <c r="F389" s="35">
        <v>1150</v>
      </c>
      <c r="G389" s="35">
        <v>100</v>
      </c>
      <c r="H389" s="43">
        <v>600</v>
      </c>
      <c r="I389" s="35">
        <v>695</v>
      </c>
      <c r="J389" s="35">
        <v>50</v>
      </c>
      <c r="K389" s="36"/>
      <c r="L389" s="36"/>
      <c r="M389" s="36"/>
      <c r="N389" s="36"/>
      <c r="O389" s="36"/>
      <c r="P389" s="36"/>
      <c r="Q389" s="36"/>
      <c r="R389" s="36"/>
      <c r="S389" s="36"/>
      <c r="T389" s="36"/>
    </row>
    <row r="390" spans="1:20" ht="15.75">
      <c r="A390" s="13">
        <v>53386</v>
      </c>
      <c r="B390" s="44">
        <v>28</v>
      </c>
      <c r="C390" s="35">
        <v>122.58</v>
      </c>
      <c r="D390" s="35">
        <v>297.94099999999997</v>
      </c>
      <c r="E390" s="41">
        <v>729.47900000000004</v>
      </c>
      <c r="F390" s="35">
        <v>1150</v>
      </c>
      <c r="G390" s="35">
        <v>100</v>
      </c>
      <c r="H390" s="43">
        <v>600</v>
      </c>
      <c r="I390" s="35">
        <v>695</v>
      </c>
      <c r="J390" s="35">
        <v>50</v>
      </c>
      <c r="K390" s="36"/>
      <c r="L390" s="36"/>
      <c r="M390" s="36"/>
      <c r="N390" s="36"/>
      <c r="O390" s="36"/>
      <c r="P390" s="36"/>
      <c r="Q390" s="36"/>
      <c r="R390" s="36"/>
      <c r="S390" s="36"/>
      <c r="T390" s="36"/>
    </row>
    <row r="391" spans="1:20" ht="15.75">
      <c r="A391" s="13">
        <v>53417</v>
      </c>
      <c r="B391" s="44">
        <v>31</v>
      </c>
      <c r="C391" s="35">
        <v>122.58</v>
      </c>
      <c r="D391" s="35">
        <v>297.94099999999997</v>
      </c>
      <c r="E391" s="41">
        <v>729.47900000000004</v>
      </c>
      <c r="F391" s="35">
        <v>1150</v>
      </c>
      <c r="G391" s="35">
        <v>100</v>
      </c>
      <c r="H391" s="43">
        <v>600</v>
      </c>
      <c r="I391" s="35">
        <v>695</v>
      </c>
      <c r="J391" s="35">
        <v>50</v>
      </c>
      <c r="K391" s="36"/>
      <c r="L391" s="36"/>
      <c r="M391" s="36"/>
      <c r="N391" s="36"/>
      <c r="O391" s="36"/>
      <c r="P391" s="36"/>
      <c r="Q391" s="36"/>
      <c r="R391" s="36"/>
      <c r="S391" s="36"/>
      <c r="T391" s="36"/>
    </row>
    <row r="392" spans="1:20" ht="15.75">
      <c r="A392" s="13">
        <v>53447</v>
      </c>
      <c r="B392" s="44">
        <v>30</v>
      </c>
      <c r="C392" s="35">
        <v>141.29300000000001</v>
      </c>
      <c r="D392" s="35">
        <v>267.99299999999999</v>
      </c>
      <c r="E392" s="41">
        <v>829.71400000000006</v>
      </c>
      <c r="F392" s="35">
        <v>1239</v>
      </c>
      <c r="G392" s="35">
        <v>100</v>
      </c>
      <c r="H392" s="43">
        <v>600</v>
      </c>
      <c r="I392" s="35">
        <v>695</v>
      </c>
      <c r="J392" s="35">
        <v>50</v>
      </c>
      <c r="K392" s="36"/>
      <c r="L392" s="36"/>
      <c r="M392" s="36"/>
      <c r="N392" s="36"/>
      <c r="O392" s="36"/>
      <c r="P392" s="36"/>
      <c r="Q392" s="36"/>
      <c r="R392" s="36"/>
      <c r="S392" s="36"/>
      <c r="T392" s="36"/>
    </row>
    <row r="393" spans="1:20" ht="15.75">
      <c r="A393" s="13">
        <v>53478</v>
      </c>
      <c r="B393" s="44">
        <v>31</v>
      </c>
      <c r="C393" s="35">
        <v>194.20500000000001</v>
      </c>
      <c r="D393" s="35">
        <v>267.46600000000001</v>
      </c>
      <c r="E393" s="41">
        <v>812.32899999999995</v>
      </c>
      <c r="F393" s="35">
        <v>1274</v>
      </c>
      <c r="G393" s="35">
        <v>75</v>
      </c>
      <c r="H393" s="43">
        <v>600</v>
      </c>
      <c r="I393" s="35">
        <v>695</v>
      </c>
      <c r="J393" s="35">
        <v>50</v>
      </c>
      <c r="K393" s="36"/>
      <c r="L393" s="36"/>
      <c r="M393" s="36"/>
      <c r="N393" s="36"/>
      <c r="O393" s="36"/>
      <c r="P393" s="36"/>
      <c r="Q393" s="36"/>
      <c r="R393" s="36"/>
      <c r="S393" s="36"/>
      <c r="T393" s="36"/>
    </row>
    <row r="394" spans="1:20" ht="15.75">
      <c r="A394" s="13">
        <v>53508</v>
      </c>
      <c r="B394" s="44">
        <v>30</v>
      </c>
      <c r="C394" s="35">
        <v>194.20500000000001</v>
      </c>
      <c r="D394" s="35">
        <v>267.46600000000001</v>
      </c>
      <c r="E394" s="41">
        <v>812.32899999999995</v>
      </c>
      <c r="F394" s="35">
        <v>1274</v>
      </c>
      <c r="G394" s="35">
        <v>50</v>
      </c>
      <c r="H394" s="43">
        <v>600</v>
      </c>
      <c r="I394" s="35">
        <v>695</v>
      </c>
      <c r="J394" s="35">
        <v>50</v>
      </c>
      <c r="K394" s="36"/>
      <c r="L394" s="36"/>
      <c r="M394" s="36"/>
      <c r="N394" s="36"/>
      <c r="O394" s="36"/>
      <c r="P394" s="36"/>
      <c r="Q394" s="36"/>
      <c r="R394" s="36"/>
      <c r="S394" s="36"/>
      <c r="T394" s="36"/>
    </row>
    <row r="395" spans="1:20" ht="15.75">
      <c r="A395" s="13">
        <v>53539</v>
      </c>
      <c r="B395" s="44">
        <v>31</v>
      </c>
      <c r="C395" s="35">
        <v>194.20500000000001</v>
      </c>
      <c r="D395" s="35">
        <v>267.46600000000001</v>
      </c>
      <c r="E395" s="41">
        <v>812.32899999999995</v>
      </c>
      <c r="F395" s="35">
        <v>1274</v>
      </c>
      <c r="G395" s="35">
        <v>50</v>
      </c>
      <c r="H395" s="43">
        <v>600</v>
      </c>
      <c r="I395" s="35">
        <v>695</v>
      </c>
      <c r="J395" s="35">
        <v>0</v>
      </c>
      <c r="K395" s="36"/>
      <c r="L395" s="36"/>
      <c r="M395" s="36"/>
      <c r="N395" s="36"/>
      <c r="O395" s="36"/>
      <c r="P395" s="36"/>
      <c r="Q395" s="36"/>
      <c r="R395" s="36"/>
      <c r="S395" s="36"/>
      <c r="T395" s="36"/>
    </row>
    <row r="396" spans="1:20" ht="15.75">
      <c r="A396" s="13">
        <v>53570</v>
      </c>
      <c r="B396" s="44">
        <v>31</v>
      </c>
      <c r="C396" s="35">
        <v>194.20500000000001</v>
      </c>
      <c r="D396" s="35">
        <v>267.46600000000001</v>
      </c>
      <c r="E396" s="41">
        <v>812.32899999999995</v>
      </c>
      <c r="F396" s="35">
        <v>1274</v>
      </c>
      <c r="G396" s="35">
        <v>50</v>
      </c>
      <c r="H396" s="43">
        <v>600</v>
      </c>
      <c r="I396" s="35">
        <v>695</v>
      </c>
      <c r="J396" s="35">
        <v>0</v>
      </c>
      <c r="K396" s="36"/>
      <c r="L396" s="36"/>
      <c r="M396" s="36"/>
      <c r="N396" s="36"/>
      <c r="O396" s="36"/>
      <c r="P396" s="36"/>
      <c r="Q396" s="36"/>
      <c r="R396" s="36"/>
      <c r="S396" s="36"/>
      <c r="T396" s="36"/>
    </row>
    <row r="397" spans="1:20" ht="15.75">
      <c r="A397" s="13">
        <v>53600</v>
      </c>
      <c r="B397" s="44">
        <v>30</v>
      </c>
      <c r="C397" s="35">
        <v>194.20500000000001</v>
      </c>
      <c r="D397" s="35">
        <v>267.46600000000001</v>
      </c>
      <c r="E397" s="41">
        <v>812.32899999999995</v>
      </c>
      <c r="F397" s="35">
        <v>1274</v>
      </c>
      <c r="G397" s="35">
        <v>50</v>
      </c>
      <c r="H397" s="43">
        <v>600</v>
      </c>
      <c r="I397" s="35">
        <v>695</v>
      </c>
      <c r="J397" s="35">
        <v>0</v>
      </c>
      <c r="K397" s="36"/>
      <c r="L397" s="36"/>
      <c r="M397" s="36"/>
      <c r="N397" s="36"/>
      <c r="O397" s="36"/>
      <c r="P397" s="36"/>
      <c r="Q397" s="36"/>
      <c r="R397" s="36"/>
      <c r="S397" s="36"/>
      <c r="T397" s="36"/>
    </row>
    <row r="398" spans="1:20" ht="15.75">
      <c r="A398" s="13">
        <v>53631</v>
      </c>
      <c r="B398" s="44">
        <v>31</v>
      </c>
      <c r="C398" s="35">
        <v>131.881</v>
      </c>
      <c r="D398" s="35">
        <v>277.16699999999997</v>
      </c>
      <c r="E398" s="41">
        <v>829.952</v>
      </c>
      <c r="F398" s="35">
        <v>1239</v>
      </c>
      <c r="G398" s="35">
        <v>75</v>
      </c>
      <c r="H398" s="43">
        <v>600</v>
      </c>
      <c r="I398" s="35">
        <v>695</v>
      </c>
      <c r="J398" s="35">
        <v>0</v>
      </c>
      <c r="K398" s="36"/>
      <c r="L398" s="36"/>
      <c r="M398" s="36"/>
      <c r="N398" s="36"/>
      <c r="O398" s="36"/>
      <c r="P398" s="36"/>
      <c r="Q398" s="36"/>
      <c r="R398" s="36"/>
      <c r="S398" s="36"/>
      <c r="T398" s="36"/>
    </row>
    <row r="399" spans="1:20" ht="15.75">
      <c r="A399" s="13">
        <v>53661</v>
      </c>
      <c r="B399" s="44">
        <v>30</v>
      </c>
      <c r="C399" s="35">
        <v>122.58</v>
      </c>
      <c r="D399" s="35">
        <v>297.94099999999997</v>
      </c>
      <c r="E399" s="41">
        <v>729.47900000000004</v>
      </c>
      <c r="F399" s="35">
        <v>1150</v>
      </c>
      <c r="G399" s="35">
        <v>100</v>
      </c>
      <c r="H399" s="43">
        <v>600</v>
      </c>
      <c r="I399" s="35">
        <v>695</v>
      </c>
      <c r="J399" s="35">
        <v>50</v>
      </c>
      <c r="K399" s="36"/>
      <c r="L399" s="36"/>
      <c r="M399" s="36"/>
      <c r="N399" s="36"/>
      <c r="O399" s="36"/>
      <c r="P399" s="36"/>
      <c r="Q399" s="36"/>
      <c r="R399" s="36"/>
      <c r="S399" s="36"/>
      <c r="T399" s="36"/>
    </row>
    <row r="400" spans="1:20" ht="15.75">
      <c r="A400" s="13">
        <v>53692</v>
      </c>
      <c r="B400" s="44">
        <v>31</v>
      </c>
      <c r="C400" s="35">
        <v>122.58</v>
      </c>
      <c r="D400" s="35">
        <v>297.94099999999997</v>
      </c>
      <c r="E400" s="41">
        <v>729.47900000000004</v>
      </c>
      <c r="F400" s="35">
        <v>1150</v>
      </c>
      <c r="G400" s="35">
        <v>100</v>
      </c>
      <c r="H400" s="43">
        <v>600</v>
      </c>
      <c r="I400" s="35">
        <v>695</v>
      </c>
      <c r="J400" s="35">
        <v>50</v>
      </c>
      <c r="K400" s="36"/>
      <c r="L400" s="36"/>
      <c r="M400" s="36"/>
      <c r="N400" s="36"/>
      <c r="O400" s="36"/>
      <c r="P400" s="36"/>
      <c r="Q400" s="36"/>
      <c r="R400" s="36"/>
      <c r="S400" s="36"/>
      <c r="T400" s="36"/>
    </row>
    <row r="401" spans="1:20" ht="15.75">
      <c r="A401" s="13">
        <v>53723</v>
      </c>
      <c r="B401" s="44">
        <v>31</v>
      </c>
      <c r="C401" s="35">
        <v>122.58</v>
      </c>
      <c r="D401" s="35">
        <v>297.94099999999997</v>
      </c>
      <c r="E401" s="41">
        <v>729.47900000000004</v>
      </c>
      <c r="F401" s="35">
        <v>1150</v>
      </c>
      <c r="G401" s="35">
        <v>100</v>
      </c>
      <c r="H401" s="43">
        <v>600</v>
      </c>
      <c r="I401" s="35">
        <v>695</v>
      </c>
      <c r="J401" s="35">
        <v>50</v>
      </c>
      <c r="K401" s="36"/>
      <c r="L401" s="36"/>
      <c r="M401" s="36"/>
      <c r="N401" s="36"/>
      <c r="O401" s="36"/>
      <c r="P401" s="36"/>
      <c r="Q401" s="36"/>
      <c r="R401" s="36"/>
      <c r="S401" s="36"/>
      <c r="T401" s="36"/>
    </row>
    <row r="402" spans="1:20" ht="15.75">
      <c r="A402" s="13">
        <v>53751</v>
      </c>
      <c r="B402" s="44">
        <v>28</v>
      </c>
      <c r="C402" s="35">
        <v>122.58</v>
      </c>
      <c r="D402" s="35">
        <v>297.94099999999997</v>
      </c>
      <c r="E402" s="41">
        <v>729.47900000000004</v>
      </c>
      <c r="F402" s="35">
        <v>1150</v>
      </c>
      <c r="G402" s="35">
        <v>100</v>
      </c>
      <c r="H402" s="43">
        <v>600</v>
      </c>
      <c r="I402" s="35">
        <v>695</v>
      </c>
      <c r="J402" s="35">
        <v>50</v>
      </c>
      <c r="K402" s="36"/>
      <c r="L402" s="36"/>
      <c r="M402" s="36"/>
      <c r="N402" s="36"/>
      <c r="O402" s="36"/>
      <c r="P402" s="36"/>
      <c r="Q402" s="36"/>
      <c r="R402" s="36"/>
      <c r="S402" s="36"/>
      <c r="T402" s="36"/>
    </row>
    <row r="403" spans="1:20" ht="15.75">
      <c r="A403" s="13">
        <v>53782</v>
      </c>
      <c r="B403" s="44">
        <v>31</v>
      </c>
      <c r="C403" s="35">
        <v>122.58</v>
      </c>
      <c r="D403" s="35">
        <v>297.94099999999997</v>
      </c>
      <c r="E403" s="41">
        <v>729.47900000000004</v>
      </c>
      <c r="F403" s="35">
        <v>1150</v>
      </c>
      <c r="G403" s="35">
        <v>100</v>
      </c>
      <c r="H403" s="43">
        <v>600</v>
      </c>
      <c r="I403" s="35">
        <v>695</v>
      </c>
      <c r="J403" s="35">
        <v>50</v>
      </c>
      <c r="K403" s="36"/>
      <c r="L403" s="36"/>
      <c r="M403" s="36"/>
      <c r="N403" s="36"/>
      <c r="O403" s="36"/>
      <c r="P403" s="36"/>
      <c r="Q403" s="36"/>
      <c r="R403" s="36"/>
      <c r="S403" s="36"/>
      <c r="T403" s="36"/>
    </row>
    <row r="404" spans="1:20" ht="15.75">
      <c r="A404" s="13">
        <v>53812</v>
      </c>
      <c r="B404" s="44">
        <v>30</v>
      </c>
      <c r="C404" s="35">
        <v>141.29300000000001</v>
      </c>
      <c r="D404" s="35">
        <v>267.99299999999999</v>
      </c>
      <c r="E404" s="41">
        <v>829.71400000000006</v>
      </c>
      <c r="F404" s="35">
        <v>1239</v>
      </c>
      <c r="G404" s="35">
        <v>100</v>
      </c>
      <c r="H404" s="43">
        <v>600</v>
      </c>
      <c r="I404" s="35">
        <v>695</v>
      </c>
      <c r="J404" s="35">
        <v>50</v>
      </c>
      <c r="K404" s="36"/>
      <c r="L404" s="36"/>
      <c r="M404" s="36"/>
      <c r="N404" s="36"/>
      <c r="O404" s="36"/>
      <c r="P404" s="36"/>
      <c r="Q404" s="36"/>
      <c r="R404" s="36"/>
      <c r="S404" s="36"/>
      <c r="T404" s="36"/>
    </row>
    <row r="405" spans="1:20" ht="15.75">
      <c r="A405" s="13">
        <v>53843</v>
      </c>
      <c r="B405" s="44">
        <v>31</v>
      </c>
      <c r="C405" s="35">
        <v>194.20500000000001</v>
      </c>
      <c r="D405" s="35">
        <v>267.46600000000001</v>
      </c>
      <c r="E405" s="41">
        <v>812.32899999999995</v>
      </c>
      <c r="F405" s="35">
        <v>1274</v>
      </c>
      <c r="G405" s="35">
        <v>75</v>
      </c>
      <c r="H405" s="43">
        <v>600</v>
      </c>
      <c r="I405" s="35">
        <v>695</v>
      </c>
      <c r="J405" s="35">
        <v>50</v>
      </c>
      <c r="K405" s="36"/>
      <c r="L405" s="36"/>
      <c r="M405" s="36"/>
      <c r="N405" s="36"/>
      <c r="O405" s="36"/>
      <c r="P405" s="36"/>
      <c r="Q405" s="36"/>
      <c r="R405" s="36"/>
      <c r="S405" s="36"/>
      <c r="T405" s="36"/>
    </row>
    <row r="406" spans="1:20" ht="15.75">
      <c r="A406" s="13">
        <v>53873</v>
      </c>
      <c r="B406" s="44">
        <v>30</v>
      </c>
      <c r="C406" s="35">
        <v>194.20500000000001</v>
      </c>
      <c r="D406" s="35">
        <v>267.46600000000001</v>
      </c>
      <c r="E406" s="41">
        <v>812.32899999999995</v>
      </c>
      <c r="F406" s="35">
        <v>1274</v>
      </c>
      <c r="G406" s="35">
        <v>50</v>
      </c>
      <c r="H406" s="43">
        <v>600</v>
      </c>
      <c r="I406" s="35">
        <v>695</v>
      </c>
      <c r="J406" s="35">
        <v>50</v>
      </c>
      <c r="K406" s="36"/>
      <c r="L406" s="36"/>
      <c r="M406" s="36"/>
      <c r="N406" s="36"/>
      <c r="O406" s="36"/>
      <c r="P406" s="36"/>
      <c r="Q406" s="36"/>
      <c r="R406" s="36"/>
      <c r="S406" s="36"/>
      <c r="T406" s="36"/>
    </row>
    <row r="407" spans="1:20" ht="15.75">
      <c r="A407" s="13">
        <v>53904</v>
      </c>
      <c r="B407" s="44">
        <v>31</v>
      </c>
      <c r="C407" s="35">
        <v>194.20500000000001</v>
      </c>
      <c r="D407" s="35">
        <v>267.46600000000001</v>
      </c>
      <c r="E407" s="41">
        <v>812.32899999999995</v>
      </c>
      <c r="F407" s="35">
        <v>1274</v>
      </c>
      <c r="G407" s="35">
        <v>50</v>
      </c>
      <c r="H407" s="43">
        <v>600</v>
      </c>
      <c r="I407" s="35">
        <v>695</v>
      </c>
      <c r="J407" s="35">
        <v>0</v>
      </c>
      <c r="K407" s="36"/>
      <c r="L407" s="36"/>
      <c r="M407" s="36"/>
      <c r="N407" s="36"/>
      <c r="O407" s="36"/>
      <c r="P407" s="36"/>
      <c r="Q407" s="36"/>
      <c r="R407" s="36"/>
      <c r="S407" s="36"/>
      <c r="T407" s="36"/>
    </row>
    <row r="408" spans="1:20" ht="15.75">
      <c r="A408" s="13">
        <v>53935</v>
      </c>
      <c r="B408" s="44">
        <v>31</v>
      </c>
      <c r="C408" s="35">
        <v>194.20500000000001</v>
      </c>
      <c r="D408" s="35">
        <v>267.46600000000001</v>
      </c>
      <c r="E408" s="41">
        <v>812.32899999999995</v>
      </c>
      <c r="F408" s="35">
        <v>1274</v>
      </c>
      <c r="G408" s="35">
        <v>50</v>
      </c>
      <c r="H408" s="43">
        <v>600</v>
      </c>
      <c r="I408" s="35">
        <v>695</v>
      </c>
      <c r="J408" s="35">
        <v>0</v>
      </c>
      <c r="K408" s="36"/>
      <c r="L408" s="36"/>
      <c r="M408" s="36"/>
      <c r="N408" s="36"/>
      <c r="O408" s="36"/>
      <c r="P408" s="36"/>
      <c r="Q408" s="36"/>
      <c r="R408" s="36"/>
      <c r="S408" s="36"/>
      <c r="T408" s="36"/>
    </row>
    <row r="409" spans="1:20" ht="15.75">
      <c r="A409" s="13">
        <v>53965</v>
      </c>
      <c r="B409" s="44">
        <v>30</v>
      </c>
      <c r="C409" s="35">
        <v>194.20500000000001</v>
      </c>
      <c r="D409" s="35">
        <v>267.46600000000001</v>
      </c>
      <c r="E409" s="41">
        <v>812.32899999999995</v>
      </c>
      <c r="F409" s="35">
        <v>1274</v>
      </c>
      <c r="G409" s="35">
        <v>50</v>
      </c>
      <c r="H409" s="43">
        <v>600</v>
      </c>
      <c r="I409" s="35">
        <v>695</v>
      </c>
      <c r="J409" s="35">
        <v>0</v>
      </c>
      <c r="K409" s="36"/>
      <c r="L409" s="36"/>
      <c r="M409" s="36"/>
      <c r="N409" s="36"/>
      <c r="O409" s="36"/>
      <c r="P409" s="36"/>
      <c r="Q409" s="36"/>
      <c r="R409" s="36"/>
      <c r="S409" s="36"/>
      <c r="T409" s="36"/>
    </row>
    <row r="410" spans="1:20" ht="15.75">
      <c r="A410" s="13">
        <v>53996</v>
      </c>
      <c r="B410" s="44">
        <v>31</v>
      </c>
      <c r="C410" s="35">
        <v>131.881</v>
      </c>
      <c r="D410" s="35">
        <v>277.16699999999997</v>
      </c>
      <c r="E410" s="41">
        <v>829.952</v>
      </c>
      <c r="F410" s="35">
        <v>1239</v>
      </c>
      <c r="G410" s="35">
        <v>75</v>
      </c>
      <c r="H410" s="43">
        <v>600</v>
      </c>
      <c r="I410" s="35">
        <v>695</v>
      </c>
      <c r="J410" s="35">
        <v>0</v>
      </c>
      <c r="K410" s="36"/>
      <c r="L410" s="36"/>
      <c r="M410" s="36"/>
      <c r="N410" s="36"/>
      <c r="O410" s="36"/>
      <c r="P410" s="36"/>
      <c r="Q410" s="36"/>
      <c r="R410" s="36"/>
      <c r="S410" s="36"/>
      <c r="T410" s="36"/>
    </row>
    <row r="411" spans="1:20" ht="15.75">
      <c r="A411" s="13">
        <v>54026</v>
      </c>
      <c r="B411" s="44">
        <v>30</v>
      </c>
      <c r="C411" s="35">
        <v>122.58</v>
      </c>
      <c r="D411" s="35">
        <v>297.94099999999997</v>
      </c>
      <c r="E411" s="41">
        <v>729.47900000000004</v>
      </c>
      <c r="F411" s="35">
        <v>1150</v>
      </c>
      <c r="G411" s="35">
        <v>100</v>
      </c>
      <c r="H411" s="43">
        <v>600</v>
      </c>
      <c r="I411" s="35">
        <v>695</v>
      </c>
      <c r="J411" s="35">
        <v>50</v>
      </c>
      <c r="K411" s="36"/>
      <c r="L411" s="36"/>
      <c r="M411" s="36"/>
      <c r="N411" s="36"/>
      <c r="O411" s="36"/>
      <c r="P411" s="36"/>
      <c r="Q411" s="36"/>
      <c r="R411" s="36"/>
      <c r="S411" s="36"/>
      <c r="T411" s="36"/>
    </row>
    <row r="412" spans="1:20" ht="15.75">
      <c r="A412" s="13">
        <v>54057</v>
      </c>
      <c r="B412" s="44">
        <v>31</v>
      </c>
      <c r="C412" s="35">
        <v>122.58</v>
      </c>
      <c r="D412" s="35">
        <v>297.94099999999997</v>
      </c>
      <c r="E412" s="41">
        <v>729.47900000000004</v>
      </c>
      <c r="F412" s="35">
        <v>1150</v>
      </c>
      <c r="G412" s="35">
        <v>100</v>
      </c>
      <c r="H412" s="43">
        <v>600</v>
      </c>
      <c r="I412" s="35">
        <v>695</v>
      </c>
      <c r="J412" s="35">
        <v>50</v>
      </c>
      <c r="K412" s="36"/>
      <c r="L412" s="36"/>
      <c r="M412" s="36"/>
      <c r="N412" s="36"/>
      <c r="O412" s="36"/>
      <c r="P412" s="36"/>
      <c r="Q412" s="36"/>
      <c r="R412" s="36"/>
      <c r="S412" s="36"/>
      <c r="T412" s="36"/>
    </row>
    <row r="413" spans="1:20" ht="15.75">
      <c r="A413" s="13">
        <v>54088</v>
      </c>
      <c r="B413" s="44">
        <v>31</v>
      </c>
      <c r="C413" s="35">
        <v>122.58</v>
      </c>
      <c r="D413" s="35">
        <v>297.94099999999997</v>
      </c>
      <c r="E413" s="41">
        <v>729.47900000000004</v>
      </c>
      <c r="F413" s="35">
        <v>1150</v>
      </c>
      <c r="G413" s="35">
        <v>100</v>
      </c>
      <c r="H413" s="43">
        <v>600</v>
      </c>
      <c r="I413" s="35">
        <v>695</v>
      </c>
      <c r="J413" s="35">
        <v>50</v>
      </c>
      <c r="K413" s="36"/>
      <c r="L413" s="36"/>
      <c r="M413" s="36"/>
      <c r="N413" s="36"/>
      <c r="O413" s="36"/>
      <c r="P413" s="36"/>
      <c r="Q413" s="36"/>
      <c r="R413" s="36"/>
      <c r="S413" s="36"/>
      <c r="T413" s="36"/>
    </row>
    <row r="414" spans="1:20" ht="15.75">
      <c r="A414" s="13">
        <v>54116</v>
      </c>
      <c r="B414" s="44">
        <v>29</v>
      </c>
      <c r="C414" s="35">
        <v>122.58</v>
      </c>
      <c r="D414" s="35">
        <v>297.94099999999997</v>
      </c>
      <c r="E414" s="41">
        <v>729.47900000000004</v>
      </c>
      <c r="F414" s="35">
        <v>1150</v>
      </c>
      <c r="G414" s="35">
        <v>100</v>
      </c>
      <c r="H414" s="43">
        <v>600</v>
      </c>
      <c r="I414" s="35">
        <v>695</v>
      </c>
      <c r="J414" s="35">
        <v>50</v>
      </c>
      <c r="K414" s="36"/>
      <c r="L414" s="36"/>
      <c r="M414" s="36"/>
      <c r="N414" s="36"/>
      <c r="O414" s="36"/>
      <c r="P414" s="36"/>
      <c r="Q414" s="36"/>
      <c r="R414" s="36"/>
      <c r="S414" s="36"/>
      <c r="T414" s="36"/>
    </row>
    <row r="415" spans="1:20" ht="15.75">
      <c r="A415" s="13">
        <v>54148</v>
      </c>
      <c r="B415" s="44">
        <v>31</v>
      </c>
      <c r="C415" s="35">
        <v>122.58</v>
      </c>
      <c r="D415" s="35">
        <v>297.94099999999997</v>
      </c>
      <c r="E415" s="41">
        <v>729.47900000000004</v>
      </c>
      <c r="F415" s="35">
        <v>1150</v>
      </c>
      <c r="G415" s="35">
        <v>100</v>
      </c>
      <c r="H415" s="43">
        <v>600</v>
      </c>
      <c r="I415" s="35">
        <v>695</v>
      </c>
      <c r="J415" s="35">
        <v>50</v>
      </c>
      <c r="K415" s="36"/>
      <c r="L415" s="36"/>
      <c r="M415" s="36"/>
      <c r="N415" s="36"/>
      <c r="O415" s="36"/>
      <c r="P415" s="36"/>
      <c r="Q415" s="36"/>
      <c r="R415" s="36"/>
      <c r="S415" s="36"/>
      <c r="T415" s="36"/>
    </row>
    <row r="416" spans="1:20" ht="15.75">
      <c r="A416" s="13">
        <v>54178</v>
      </c>
      <c r="B416" s="44">
        <v>30</v>
      </c>
      <c r="C416" s="35">
        <v>141.29300000000001</v>
      </c>
      <c r="D416" s="35">
        <v>267.99299999999999</v>
      </c>
      <c r="E416" s="41">
        <v>829.71400000000006</v>
      </c>
      <c r="F416" s="35">
        <v>1239</v>
      </c>
      <c r="G416" s="35">
        <v>100</v>
      </c>
      <c r="H416" s="43">
        <v>600</v>
      </c>
      <c r="I416" s="35">
        <v>695</v>
      </c>
      <c r="J416" s="35">
        <v>50</v>
      </c>
      <c r="K416" s="36"/>
      <c r="L416" s="36"/>
      <c r="M416" s="36"/>
      <c r="N416" s="36"/>
      <c r="O416" s="36"/>
      <c r="P416" s="36"/>
      <c r="Q416" s="36"/>
      <c r="R416" s="36"/>
      <c r="S416" s="36"/>
      <c r="T416" s="36"/>
    </row>
    <row r="417" spans="1:20" ht="15.75">
      <c r="A417" s="13">
        <v>54209</v>
      </c>
      <c r="B417" s="44">
        <v>31</v>
      </c>
      <c r="C417" s="35">
        <v>194.20500000000001</v>
      </c>
      <c r="D417" s="35">
        <v>267.46600000000001</v>
      </c>
      <c r="E417" s="41">
        <v>812.32899999999995</v>
      </c>
      <c r="F417" s="35">
        <v>1274</v>
      </c>
      <c r="G417" s="35">
        <v>75</v>
      </c>
      <c r="H417" s="43">
        <v>600</v>
      </c>
      <c r="I417" s="35">
        <v>695</v>
      </c>
      <c r="J417" s="35">
        <v>50</v>
      </c>
      <c r="K417" s="36"/>
      <c r="L417" s="36"/>
      <c r="M417" s="36"/>
      <c r="N417" s="36"/>
      <c r="O417" s="36"/>
      <c r="P417" s="36"/>
      <c r="Q417" s="36"/>
      <c r="R417" s="36"/>
      <c r="S417" s="36"/>
      <c r="T417" s="36"/>
    </row>
    <row r="418" spans="1:20" ht="15.75">
      <c r="A418" s="13">
        <v>54239</v>
      </c>
      <c r="B418" s="44">
        <v>30</v>
      </c>
      <c r="C418" s="35">
        <v>194.20500000000001</v>
      </c>
      <c r="D418" s="35">
        <v>267.46600000000001</v>
      </c>
      <c r="E418" s="41">
        <v>812.32899999999995</v>
      </c>
      <c r="F418" s="35">
        <v>1274</v>
      </c>
      <c r="G418" s="35">
        <v>50</v>
      </c>
      <c r="H418" s="43">
        <v>600</v>
      </c>
      <c r="I418" s="35">
        <v>695</v>
      </c>
      <c r="J418" s="35">
        <v>50</v>
      </c>
      <c r="K418" s="36"/>
      <c r="L418" s="36"/>
      <c r="M418" s="36"/>
      <c r="N418" s="36"/>
      <c r="O418" s="36"/>
      <c r="P418" s="36"/>
      <c r="Q418" s="36"/>
      <c r="R418" s="36"/>
      <c r="S418" s="36"/>
      <c r="T418" s="36"/>
    </row>
    <row r="419" spans="1:20" ht="15.75">
      <c r="A419" s="13">
        <v>54270</v>
      </c>
      <c r="B419" s="44">
        <v>31</v>
      </c>
      <c r="C419" s="35">
        <v>194.20500000000001</v>
      </c>
      <c r="D419" s="35">
        <v>267.46600000000001</v>
      </c>
      <c r="E419" s="41">
        <v>812.32899999999995</v>
      </c>
      <c r="F419" s="35">
        <v>1274</v>
      </c>
      <c r="G419" s="35">
        <v>50</v>
      </c>
      <c r="H419" s="43">
        <v>600</v>
      </c>
      <c r="I419" s="35">
        <v>695</v>
      </c>
      <c r="J419" s="35">
        <v>0</v>
      </c>
      <c r="K419" s="36"/>
      <c r="L419" s="36"/>
      <c r="M419" s="36"/>
      <c r="N419" s="36"/>
      <c r="O419" s="36"/>
      <c r="P419" s="36"/>
      <c r="Q419" s="36"/>
      <c r="R419" s="36"/>
      <c r="S419" s="36"/>
      <c r="T419" s="36"/>
    </row>
    <row r="420" spans="1:20" ht="15.75">
      <c r="A420" s="13">
        <v>54301</v>
      </c>
      <c r="B420" s="44">
        <v>31</v>
      </c>
      <c r="C420" s="35">
        <v>194.20500000000001</v>
      </c>
      <c r="D420" s="35">
        <v>267.46600000000001</v>
      </c>
      <c r="E420" s="41">
        <v>812.32899999999995</v>
      </c>
      <c r="F420" s="35">
        <v>1274</v>
      </c>
      <c r="G420" s="35">
        <v>50</v>
      </c>
      <c r="H420" s="43">
        <v>600</v>
      </c>
      <c r="I420" s="35">
        <v>695</v>
      </c>
      <c r="J420" s="35">
        <v>0</v>
      </c>
      <c r="K420" s="36"/>
      <c r="L420" s="36"/>
      <c r="M420" s="36"/>
      <c r="N420" s="36"/>
      <c r="O420" s="36"/>
      <c r="P420" s="36"/>
      <c r="Q420" s="36"/>
      <c r="R420" s="36"/>
      <c r="S420" s="36"/>
      <c r="T420" s="36"/>
    </row>
    <row r="421" spans="1:20" ht="15.75">
      <c r="A421" s="13">
        <v>54331</v>
      </c>
      <c r="B421" s="44">
        <v>30</v>
      </c>
      <c r="C421" s="35">
        <v>194.20500000000001</v>
      </c>
      <c r="D421" s="35">
        <v>267.46600000000001</v>
      </c>
      <c r="E421" s="41">
        <v>812.32899999999995</v>
      </c>
      <c r="F421" s="35">
        <v>1274</v>
      </c>
      <c r="G421" s="35">
        <v>50</v>
      </c>
      <c r="H421" s="43">
        <v>600</v>
      </c>
      <c r="I421" s="35">
        <v>695</v>
      </c>
      <c r="J421" s="35">
        <v>0</v>
      </c>
      <c r="K421" s="36"/>
      <c r="L421" s="36"/>
      <c r="M421" s="36"/>
      <c r="N421" s="36"/>
      <c r="O421" s="36"/>
      <c r="P421" s="36"/>
      <c r="Q421" s="36"/>
      <c r="R421" s="36"/>
      <c r="S421" s="36"/>
      <c r="T421" s="36"/>
    </row>
    <row r="422" spans="1:20" ht="15.75">
      <c r="A422" s="13">
        <v>54362</v>
      </c>
      <c r="B422" s="44">
        <v>31</v>
      </c>
      <c r="C422" s="35">
        <v>131.881</v>
      </c>
      <c r="D422" s="35">
        <v>277.16699999999997</v>
      </c>
      <c r="E422" s="41">
        <v>829.952</v>
      </c>
      <c r="F422" s="35">
        <v>1239</v>
      </c>
      <c r="G422" s="35">
        <v>75</v>
      </c>
      <c r="H422" s="43">
        <v>600</v>
      </c>
      <c r="I422" s="35">
        <v>695</v>
      </c>
      <c r="J422" s="35">
        <v>0</v>
      </c>
      <c r="K422" s="36"/>
      <c r="L422" s="36"/>
      <c r="M422" s="36"/>
      <c r="N422" s="36"/>
      <c r="O422" s="36"/>
      <c r="P422" s="36"/>
      <c r="Q422" s="36"/>
      <c r="R422" s="36"/>
      <c r="S422" s="36"/>
      <c r="T422" s="36"/>
    </row>
    <row r="423" spans="1:20" ht="15.75">
      <c r="A423" s="13">
        <v>54392</v>
      </c>
      <c r="B423" s="44">
        <v>30</v>
      </c>
      <c r="C423" s="35">
        <v>122.58</v>
      </c>
      <c r="D423" s="35">
        <v>297.94099999999997</v>
      </c>
      <c r="E423" s="41">
        <v>729.47900000000004</v>
      </c>
      <c r="F423" s="35">
        <v>1150</v>
      </c>
      <c r="G423" s="35">
        <v>100</v>
      </c>
      <c r="H423" s="43">
        <v>600</v>
      </c>
      <c r="I423" s="35">
        <v>695</v>
      </c>
      <c r="J423" s="35">
        <v>50</v>
      </c>
      <c r="K423" s="36"/>
      <c r="L423" s="36"/>
      <c r="M423" s="36"/>
      <c r="N423" s="36"/>
      <c r="O423" s="36"/>
      <c r="P423" s="36"/>
      <c r="Q423" s="36"/>
      <c r="R423" s="36"/>
      <c r="S423" s="36"/>
      <c r="T423" s="36"/>
    </row>
    <row r="424" spans="1:20" ht="15.75">
      <c r="A424" s="13">
        <v>54423</v>
      </c>
      <c r="B424" s="44">
        <v>31</v>
      </c>
      <c r="C424" s="35">
        <v>122.58</v>
      </c>
      <c r="D424" s="35">
        <v>297.94099999999997</v>
      </c>
      <c r="E424" s="41">
        <v>729.47900000000004</v>
      </c>
      <c r="F424" s="35">
        <v>1150</v>
      </c>
      <c r="G424" s="35">
        <v>100</v>
      </c>
      <c r="H424" s="43">
        <v>600</v>
      </c>
      <c r="I424" s="35">
        <v>695</v>
      </c>
      <c r="J424" s="35">
        <v>50</v>
      </c>
      <c r="K424" s="36"/>
      <c r="L424" s="36"/>
      <c r="M424" s="36"/>
      <c r="N424" s="36"/>
      <c r="O424" s="36"/>
      <c r="P424" s="36"/>
      <c r="Q424" s="36"/>
      <c r="R424" s="36"/>
      <c r="S424" s="36"/>
      <c r="T424" s="36"/>
    </row>
    <row r="425" spans="1:20" ht="15.75">
      <c r="A425" s="13">
        <v>54454</v>
      </c>
      <c r="B425" s="44">
        <v>31</v>
      </c>
      <c r="C425" s="35">
        <v>122.58</v>
      </c>
      <c r="D425" s="35">
        <v>297.94099999999997</v>
      </c>
      <c r="E425" s="41">
        <v>729.47900000000004</v>
      </c>
      <c r="F425" s="35">
        <v>1150</v>
      </c>
      <c r="G425" s="35">
        <v>100</v>
      </c>
      <c r="H425" s="43">
        <v>600</v>
      </c>
      <c r="I425" s="35">
        <v>695</v>
      </c>
      <c r="J425" s="35">
        <v>50</v>
      </c>
      <c r="K425" s="36"/>
      <c r="L425" s="36"/>
      <c r="M425" s="36"/>
      <c r="N425" s="36"/>
      <c r="O425" s="36"/>
      <c r="P425" s="36"/>
      <c r="Q425" s="36"/>
      <c r="R425" s="36"/>
      <c r="S425" s="36"/>
      <c r="T425" s="36"/>
    </row>
    <row r="426" spans="1:20" ht="15.75">
      <c r="A426" s="13">
        <v>54482</v>
      </c>
      <c r="B426" s="44">
        <v>28</v>
      </c>
      <c r="C426" s="35">
        <v>122.58</v>
      </c>
      <c r="D426" s="35">
        <v>297.94099999999997</v>
      </c>
      <c r="E426" s="41">
        <v>729.47900000000004</v>
      </c>
      <c r="F426" s="35">
        <v>1150</v>
      </c>
      <c r="G426" s="35">
        <v>100</v>
      </c>
      <c r="H426" s="43">
        <v>600</v>
      </c>
      <c r="I426" s="35">
        <v>695</v>
      </c>
      <c r="J426" s="35">
        <v>50</v>
      </c>
      <c r="K426" s="36"/>
      <c r="L426" s="36"/>
      <c r="M426" s="36"/>
      <c r="N426" s="36"/>
      <c r="O426" s="36"/>
      <c r="P426" s="36"/>
      <c r="Q426" s="36"/>
      <c r="R426" s="36"/>
      <c r="S426" s="36"/>
      <c r="T426" s="36"/>
    </row>
    <row r="427" spans="1:20" ht="15.75">
      <c r="A427" s="13">
        <v>54513</v>
      </c>
      <c r="B427" s="44">
        <v>31</v>
      </c>
      <c r="C427" s="35">
        <v>122.58</v>
      </c>
      <c r="D427" s="35">
        <v>297.94099999999997</v>
      </c>
      <c r="E427" s="41">
        <v>729.47900000000004</v>
      </c>
      <c r="F427" s="35">
        <v>1150</v>
      </c>
      <c r="G427" s="35">
        <v>100</v>
      </c>
      <c r="H427" s="43">
        <v>600</v>
      </c>
      <c r="I427" s="35">
        <v>695</v>
      </c>
      <c r="J427" s="35">
        <v>50</v>
      </c>
      <c r="K427" s="36"/>
      <c r="L427" s="36"/>
      <c r="M427" s="36"/>
      <c r="N427" s="36"/>
      <c r="O427" s="36"/>
      <c r="P427" s="36"/>
      <c r="Q427" s="36"/>
      <c r="R427" s="36"/>
      <c r="S427" s="36"/>
      <c r="T427" s="36"/>
    </row>
    <row r="428" spans="1:20" ht="15.75">
      <c r="A428" s="13">
        <v>54543</v>
      </c>
      <c r="B428" s="44">
        <v>30</v>
      </c>
      <c r="C428" s="35">
        <v>141.29300000000001</v>
      </c>
      <c r="D428" s="35">
        <v>267.99299999999999</v>
      </c>
      <c r="E428" s="41">
        <v>829.71400000000006</v>
      </c>
      <c r="F428" s="35">
        <v>1239</v>
      </c>
      <c r="G428" s="35">
        <v>100</v>
      </c>
      <c r="H428" s="43">
        <v>600</v>
      </c>
      <c r="I428" s="35">
        <v>695</v>
      </c>
      <c r="J428" s="35">
        <v>50</v>
      </c>
      <c r="K428" s="36"/>
      <c r="L428" s="36"/>
      <c r="M428" s="36"/>
      <c r="N428" s="36"/>
      <c r="O428" s="36"/>
      <c r="P428" s="36"/>
      <c r="Q428" s="36"/>
      <c r="R428" s="36"/>
      <c r="S428" s="36"/>
      <c r="T428" s="36"/>
    </row>
    <row r="429" spans="1:20" ht="15.75">
      <c r="A429" s="13">
        <v>54574</v>
      </c>
      <c r="B429" s="44">
        <v>31</v>
      </c>
      <c r="C429" s="35">
        <v>194.20500000000001</v>
      </c>
      <c r="D429" s="35">
        <v>267.46600000000001</v>
      </c>
      <c r="E429" s="41">
        <v>812.32899999999995</v>
      </c>
      <c r="F429" s="35">
        <v>1274</v>
      </c>
      <c r="G429" s="35">
        <v>75</v>
      </c>
      <c r="H429" s="43">
        <v>600</v>
      </c>
      <c r="I429" s="35">
        <v>695</v>
      </c>
      <c r="J429" s="35">
        <v>50</v>
      </c>
      <c r="K429" s="36"/>
      <c r="L429" s="36"/>
      <c r="M429" s="36"/>
      <c r="N429" s="36"/>
      <c r="O429" s="36"/>
      <c r="P429" s="36"/>
      <c r="Q429" s="36"/>
      <c r="R429" s="36"/>
      <c r="S429" s="36"/>
      <c r="T429" s="36"/>
    </row>
    <row r="430" spans="1:20" ht="15.75">
      <c r="A430" s="13">
        <v>54604</v>
      </c>
      <c r="B430" s="44">
        <v>30</v>
      </c>
      <c r="C430" s="35">
        <v>194.20500000000001</v>
      </c>
      <c r="D430" s="35">
        <v>267.46600000000001</v>
      </c>
      <c r="E430" s="41">
        <v>812.32899999999995</v>
      </c>
      <c r="F430" s="35">
        <v>1274</v>
      </c>
      <c r="G430" s="35">
        <v>50</v>
      </c>
      <c r="H430" s="43">
        <v>600</v>
      </c>
      <c r="I430" s="35">
        <v>695</v>
      </c>
      <c r="J430" s="35">
        <v>50</v>
      </c>
      <c r="K430" s="36"/>
      <c r="L430" s="36"/>
      <c r="M430" s="36"/>
      <c r="N430" s="36"/>
      <c r="O430" s="36"/>
      <c r="P430" s="36"/>
      <c r="Q430" s="36"/>
      <c r="R430" s="36"/>
      <c r="S430" s="36"/>
      <c r="T430" s="36"/>
    </row>
    <row r="431" spans="1:20" ht="15.75">
      <c r="A431" s="13">
        <v>54635</v>
      </c>
      <c r="B431" s="44">
        <v>31</v>
      </c>
      <c r="C431" s="35">
        <v>194.20500000000001</v>
      </c>
      <c r="D431" s="35">
        <v>267.46600000000001</v>
      </c>
      <c r="E431" s="41">
        <v>812.32899999999995</v>
      </c>
      <c r="F431" s="35">
        <v>1274</v>
      </c>
      <c r="G431" s="35">
        <v>50</v>
      </c>
      <c r="H431" s="43">
        <v>600</v>
      </c>
      <c r="I431" s="35">
        <v>695</v>
      </c>
      <c r="J431" s="35">
        <v>0</v>
      </c>
      <c r="K431" s="36"/>
      <c r="L431" s="36"/>
      <c r="M431" s="36"/>
      <c r="N431" s="36"/>
      <c r="O431" s="36"/>
      <c r="P431" s="36"/>
      <c r="Q431" s="36"/>
      <c r="R431" s="36"/>
      <c r="S431" s="36"/>
      <c r="T431" s="36"/>
    </row>
    <row r="432" spans="1:20" ht="15.75">
      <c r="A432" s="13">
        <v>54666</v>
      </c>
      <c r="B432" s="44">
        <v>31</v>
      </c>
      <c r="C432" s="35">
        <v>194.20500000000001</v>
      </c>
      <c r="D432" s="35">
        <v>267.46600000000001</v>
      </c>
      <c r="E432" s="41">
        <v>812.32899999999995</v>
      </c>
      <c r="F432" s="35">
        <v>1274</v>
      </c>
      <c r="G432" s="35">
        <v>50</v>
      </c>
      <c r="H432" s="43">
        <v>600</v>
      </c>
      <c r="I432" s="35">
        <v>695</v>
      </c>
      <c r="J432" s="35">
        <v>0</v>
      </c>
      <c r="K432" s="36"/>
      <c r="L432" s="36"/>
      <c r="M432" s="36"/>
      <c r="N432" s="36"/>
      <c r="O432" s="36"/>
      <c r="P432" s="36"/>
      <c r="Q432" s="36"/>
      <c r="R432" s="36"/>
      <c r="S432" s="36"/>
      <c r="T432" s="36"/>
    </row>
    <row r="433" spans="1:20" ht="15.75">
      <c r="A433" s="13">
        <v>54696</v>
      </c>
      <c r="B433" s="44">
        <v>30</v>
      </c>
      <c r="C433" s="35">
        <v>194.20500000000001</v>
      </c>
      <c r="D433" s="35">
        <v>267.46600000000001</v>
      </c>
      <c r="E433" s="41">
        <v>812.32899999999995</v>
      </c>
      <c r="F433" s="35">
        <v>1274</v>
      </c>
      <c r="G433" s="35">
        <v>50</v>
      </c>
      <c r="H433" s="43">
        <v>600</v>
      </c>
      <c r="I433" s="35">
        <v>695</v>
      </c>
      <c r="J433" s="35">
        <v>0</v>
      </c>
      <c r="K433" s="36"/>
      <c r="L433" s="36"/>
      <c r="M433" s="36"/>
      <c r="N433" s="36"/>
      <c r="O433" s="36"/>
      <c r="P433" s="36"/>
      <c r="Q433" s="36"/>
      <c r="R433" s="36"/>
      <c r="S433" s="36"/>
      <c r="T433" s="36"/>
    </row>
    <row r="434" spans="1:20" ht="15.75">
      <c r="A434" s="13">
        <v>54727</v>
      </c>
      <c r="B434" s="44">
        <v>31</v>
      </c>
      <c r="C434" s="35">
        <v>131.881</v>
      </c>
      <c r="D434" s="35">
        <v>277.16699999999997</v>
      </c>
      <c r="E434" s="41">
        <v>829.952</v>
      </c>
      <c r="F434" s="35">
        <v>1239</v>
      </c>
      <c r="G434" s="35">
        <v>75</v>
      </c>
      <c r="H434" s="43">
        <v>600</v>
      </c>
      <c r="I434" s="35">
        <v>695</v>
      </c>
      <c r="J434" s="35">
        <v>0</v>
      </c>
      <c r="K434" s="36"/>
      <c r="L434" s="36"/>
      <c r="M434" s="36"/>
      <c r="N434" s="36"/>
      <c r="O434" s="36"/>
      <c r="P434" s="36"/>
      <c r="Q434" s="36"/>
      <c r="R434" s="36"/>
      <c r="S434" s="36"/>
      <c r="T434" s="36"/>
    </row>
    <row r="435" spans="1:20" ht="15.75">
      <c r="A435" s="13">
        <v>54757</v>
      </c>
      <c r="B435" s="44">
        <v>30</v>
      </c>
      <c r="C435" s="35">
        <v>122.58</v>
      </c>
      <c r="D435" s="35">
        <v>297.94099999999997</v>
      </c>
      <c r="E435" s="41">
        <v>729.47900000000004</v>
      </c>
      <c r="F435" s="35">
        <v>1150</v>
      </c>
      <c r="G435" s="35">
        <v>100</v>
      </c>
      <c r="H435" s="43">
        <v>600</v>
      </c>
      <c r="I435" s="35">
        <v>695</v>
      </c>
      <c r="J435" s="35">
        <v>50</v>
      </c>
      <c r="K435" s="36"/>
      <c r="L435" s="36"/>
      <c r="M435" s="36"/>
      <c r="N435" s="36"/>
      <c r="O435" s="36"/>
      <c r="P435" s="36"/>
      <c r="Q435" s="36"/>
      <c r="R435" s="36"/>
      <c r="S435" s="36"/>
      <c r="T435" s="36"/>
    </row>
    <row r="436" spans="1:20" ht="15.75">
      <c r="A436" s="13">
        <v>54788</v>
      </c>
      <c r="B436" s="44">
        <v>31</v>
      </c>
      <c r="C436" s="35">
        <v>122.58</v>
      </c>
      <c r="D436" s="35">
        <v>297.94099999999997</v>
      </c>
      <c r="E436" s="41">
        <v>729.47900000000004</v>
      </c>
      <c r="F436" s="35">
        <v>1150</v>
      </c>
      <c r="G436" s="35">
        <v>100</v>
      </c>
      <c r="H436" s="43">
        <v>600</v>
      </c>
      <c r="I436" s="35">
        <v>695</v>
      </c>
      <c r="J436" s="35">
        <v>50</v>
      </c>
      <c r="K436" s="36"/>
      <c r="L436" s="36"/>
      <c r="M436" s="36"/>
      <c r="N436" s="36"/>
      <c r="O436" s="36"/>
      <c r="P436" s="36"/>
      <c r="Q436" s="36"/>
      <c r="R436" s="36"/>
      <c r="S436" s="36"/>
      <c r="T436" s="36"/>
    </row>
    <row r="437" spans="1:20" ht="15.75">
      <c r="A437" s="13">
        <v>54819</v>
      </c>
      <c r="B437" s="44">
        <v>31</v>
      </c>
      <c r="C437" s="35">
        <v>122.58</v>
      </c>
      <c r="D437" s="35">
        <v>297.94099999999997</v>
      </c>
      <c r="E437" s="41">
        <v>729.47900000000004</v>
      </c>
      <c r="F437" s="35">
        <v>1150</v>
      </c>
      <c r="G437" s="35">
        <v>100</v>
      </c>
      <c r="H437" s="43">
        <v>600</v>
      </c>
      <c r="I437" s="35">
        <v>695</v>
      </c>
      <c r="J437" s="35">
        <v>50</v>
      </c>
      <c r="K437" s="36"/>
      <c r="L437" s="36"/>
      <c r="M437" s="36"/>
      <c r="N437" s="36"/>
      <c r="O437" s="36"/>
      <c r="P437" s="36"/>
      <c r="Q437" s="36"/>
      <c r="R437" s="36"/>
      <c r="S437" s="36"/>
      <c r="T437" s="36"/>
    </row>
    <row r="438" spans="1:20" ht="15.75">
      <c r="A438" s="13">
        <v>54847</v>
      </c>
      <c r="B438" s="44">
        <v>28</v>
      </c>
      <c r="C438" s="35">
        <v>122.58</v>
      </c>
      <c r="D438" s="35">
        <v>297.94099999999997</v>
      </c>
      <c r="E438" s="41">
        <v>729.47900000000004</v>
      </c>
      <c r="F438" s="35">
        <v>1150</v>
      </c>
      <c r="G438" s="35">
        <v>100</v>
      </c>
      <c r="H438" s="43">
        <v>600</v>
      </c>
      <c r="I438" s="35">
        <v>695</v>
      </c>
      <c r="J438" s="35">
        <v>50</v>
      </c>
      <c r="K438" s="36"/>
      <c r="L438" s="36"/>
      <c r="M438" s="36"/>
      <c r="N438" s="36"/>
      <c r="O438" s="36"/>
      <c r="P438" s="36"/>
      <c r="Q438" s="36"/>
      <c r="R438" s="36"/>
      <c r="S438" s="36"/>
      <c r="T438" s="36"/>
    </row>
    <row r="439" spans="1:20" ht="15.75">
      <c r="A439" s="13">
        <v>54878</v>
      </c>
      <c r="B439" s="44">
        <v>31</v>
      </c>
      <c r="C439" s="35">
        <v>122.58</v>
      </c>
      <c r="D439" s="35">
        <v>297.94099999999997</v>
      </c>
      <c r="E439" s="41">
        <v>729.47900000000004</v>
      </c>
      <c r="F439" s="35">
        <v>1150</v>
      </c>
      <c r="G439" s="35">
        <v>100</v>
      </c>
      <c r="H439" s="43">
        <v>600</v>
      </c>
      <c r="I439" s="35">
        <v>695</v>
      </c>
      <c r="J439" s="35">
        <v>50</v>
      </c>
      <c r="K439" s="36"/>
      <c r="L439" s="36"/>
      <c r="M439" s="36"/>
      <c r="N439" s="36"/>
      <c r="O439" s="36"/>
      <c r="P439" s="36"/>
      <c r="Q439" s="36"/>
      <c r="R439" s="36"/>
      <c r="S439" s="36"/>
      <c r="T439" s="36"/>
    </row>
    <row r="440" spans="1:20" ht="15.75">
      <c r="A440" s="13">
        <v>54908</v>
      </c>
      <c r="B440" s="44">
        <v>30</v>
      </c>
      <c r="C440" s="35">
        <v>141.29300000000001</v>
      </c>
      <c r="D440" s="35">
        <v>267.99299999999999</v>
      </c>
      <c r="E440" s="41">
        <v>829.71400000000006</v>
      </c>
      <c r="F440" s="35">
        <v>1239</v>
      </c>
      <c r="G440" s="35">
        <v>100</v>
      </c>
      <c r="H440" s="43">
        <v>600</v>
      </c>
      <c r="I440" s="35">
        <v>695</v>
      </c>
      <c r="J440" s="35">
        <v>50</v>
      </c>
      <c r="K440" s="36"/>
      <c r="L440" s="36"/>
      <c r="M440" s="36"/>
      <c r="N440" s="36"/>
      <c r="O440" s="36"/>
      <c r="P440" s="36"/>
      <c r="Q440" s="36"/>
      <c r="R440" s="36"/>
      <c r="S440" s="36"/>
      <c r="T440" s="36"/>
    </row>
    <row r="441" spans="1:20" ht="15.75">
      <c r="A441" s="13">
        <v>54939</v>
      </c>
      <c r="B441" s="44">
        <v>31</v>
      </c>
      <c r="C441" s="35">
        <v>194.20500000000001</v>
      </c>
      <c r="D441" s="35">
        <v>267.46600000000001</v>
      </c>
      <c r="E441" s="41">
        <v>812.32899999999995</v>
      </c>
      <c r="F441" s="35">
        <v>1274</v>
      </c>
      <c r="G441" s="35">
        <v>75</v>
      </c>
      <c r="H441" s="43">
        <v>600</v>
      </c>
      <c r="I441" s="35">
        <v>695</v>
      </c>
      <c r="J441" s="35">
        <v>50</v>
      </c>
      <c r="K441" s="36"/>
      <c r="L441" s="36"/>
      <c r="M441" s="36"/>
      <c r="N441" s="36"/>
      <c r="O441" s="36"/>
      <c r="P441" s="36"/>
      <c r="Q441" s="36"/>
      <c r="R441" s="36"/>
      <c r="S441" s="36"/>
      <c r="T441" s="36"/>
    </row>
    <row r="442" spans="1:20" ht="15.75">
      <c r="A442" s="13">
        <v>54969</v>
      </c>
      <c r="B442" s="44">
        <v>30</v>
      </c>
      <c r="C442" s="35">
        <v>194.20500000000001</v>
      </c>
      <c r="D442" s="35">
        <v>267.46600000000001</v>
      </c>
      <c r="E442" s="41">
        <v>812.32899999999995</v>
      </c>
      <c r="F442" s="35">
        <v>1274</v>
      </c>
      <c r="G442" s="35">
        <v>50</v>
      </c>
      <c r="H442" s="43">
        <v>600</v>
      </c>
      <c r="I442" s="35">
        <v>695</v>
      </c>
      <c r="J442" s="35">
        <v>50</v>
      </c>
      <c r="K442" s="36"/>
      <c r="L442" s="36"/>
      <c r="M442" s="36"/>
      <c r="N442" s="36"/>
      <c r="O442" s="36"/>
      <c r="P442" s="36"/>
      <c r="Q442" s="36"/>
      <c r="R442" s="36"/>
      <c r="S442" s="36"/>
      <c r="T442" s="36"/>
    </row>
    <row r="443" spans="1:20" ht="15.75">
      <c r="A443" s="13">
        <v>55000</v>
      </c>
      <c r="B443" s="44">
        <v>31</v>
      </c>
      <c r="C443" s="35">
        <v>194.20500000000001</v>
      </c>
      <c r="D443" s="35">
        <v>267.46600000000001</v>
      </c>
      <c r="E443" s="41">
        <v>812.32899999999995</v>
      </c>
      <c r="F443" s="35">
        <v>1274</v>
      </c>
      <c r="G443" s="35">
        <v>50</v>
      </c>
      <c r="H443" s="43">
        <v>600</v>
      </c>
      <c r="I443" s="35">
        <v>695</v>
      </c>
      <c r="J443" s="35">
        <v>0</v>
      </c>
      <c r="K443" s="36"/>
      <c r="L443" s="36"/>
      <c r="M443" s="36"/>
      <c r="N443" s="36"/>
      <c r="O443" s="36"/>
      <c r="P443" s="36"/>
      <c r="Q443" s="36"/>
      <c r="R443" s="36"/>
      <c r="S443" s="36"/>
      <c r="T443" s="36"/>
    </row>
    <row r="444" spans="1:20" ht="15.75">
      <c r="A444" s="13">
        <v>55031</v>
      </c>
      <c r="B444" s="44">
        <v>31</v>
      </c>
      <c r="C444" s="35">
        <v>194.20500000000001</v>
      </c>
      <c r="D444" s="35">
        <v>267.46600000000001</v>
      </c>
      <c r="E444" s="41">
        <v>812.32899999999995</v>
      </c>
      <c r="F444" s="35">
        <v>1274</v>
      </c>
      <c r="G444" s="35">
        <v>50</v>
      </c>
      <c r="H444" s="43">
        <v>600</v>
      </c>
      <c r="I444" s="35">
        <v>695</v>
      </c>
      <c r="J444" s="35">
        <v>0</v>
      </c>
      <c r="K444" s="36"/>
      <c r="L444" s="36"/>
      <c r="M444" s="36"/>
      <c r="N444" s="36"/>
      <c r="O444" s="36"/>
      <c r="P444" s="36"/>
      <c r="Q444" s="36"/>
      <c r="R444" s="36"/>
      <c r="S444" s="36"/>
      <c r="T444" s="36"/>
    </row>
    <row r="445" spans="1:20" ht="15.75">
      <c r="A445" s="13">
        <v>55061</v>
      </c>
      <c r="B445" s="44">
        <v>30</v>
      </c>
      <c r="C445" s="35">
        <v>194.20500000000001</v>
      </c>
      <c r="D445" s="35">
        <v>267.46600000000001</v>
      </c>
      <c r="E445" s="41">
        <v>812.32899999999995</v>
      </c>
      <c r="F445" s="35">
        <v>1274</v>
      </c>
      <c r="G445" s="35">
        <v>50</v>
      </c>
      <c r="H445" s="43">
        <v>600</v>
      </c>
      <c r="I445" s="35">
        <v>695</v>
      </c>
      <c r="J445" s="35">
        <v>0</v>
      </c>
      <c r="K445" s="36"/>
      <c r="L445" s="36"/>
      <c r="M445" s="36"/>
      <c r="N445" s="36"/>
      <c r="O445" s="36"/>
      <c r="P445" s="36"/>
      <c r="Q445" s="36"/>
      <c r="R445" s="36"/>
      <c r="S445" s="36"/>
      <c r="T445" s="36"/>
    </row>
    <row r="446" spans="1:20" ht="15.75">
      <c r="A446" s="13">
        <v>55092</v>
      </c>
      <c r="B446" s="44">
        <v>31</v>
      </c>
      <c r="C446" s="35">
        <v>131.881</v>
      </c>
      <c r="D446" s="35">
        <v>277.16699999999997</v>
      </c>
      <c r="E446" s="41">
        <v>829.952</v>
      </c>
      <c r="F446" s="35">
        <v>1239</v>
      </c>
      <c r="G446" s="35">
        <v>75</v>
      </c>
      <c r="H446" s="43">
        <v>600</v>
      </c>
      <c r="I446" s="35">
        <v>695</v>
      </c>
      <c r="J446" s="35">
        <v>0</v>
      </c>
      <c r="K446" s="36"/>
      <c r="L446" s="36"/>
      <c r="M446" s="36"/>
      <c r="N446" s="36"/>
      <c r="O446" s="36"/>
      <c r="P446" s="36"/>
      <c r="Q446" s="36"/>
      <c r="R446" s="36"/>
      <c r="S446" s="36"/>
      <c r="T446" s="36"/>
    </row>
    <row r="447" spans="1:20" ht="15.75">
      <c r="A447" s="13">
        <v>55122</v>
      </c>
      <c r="B447" s="44">
        <v>30</v>
      </c>
      <c r="C447" s="35">
        <v>122.58</v>
      </c>
      <c r="D447" s="35">
        <v>297.94099999999997</v>
      </c>
      <c r="E447" s="41">
        <v>729.47900000000004</v>
      </c>
      <c r="F447" s="35">
        <v>1150</v>
      </c>
      <c r="G447" s="35">
        <v>100</v>
      </c>
      <c r="H447" s="43">
        <v>600</v>
      </c>
      <c r="I447" s="35">
        <v>695</v>
      </c>
      <c r="J447" s="35">
        <v>50</v>
      </c>
      <c r="K447" s="36"/>
      <c r="L447" s="36"/>
      <c r="M447" s="36"/>
      <c r="N447" s="36"/>
      <c r="O447" s="36"/>
      <c r="P447" s="36"/>
      <c r="Q447" s="36"/>
      <c r="R447" s="36"/>
      <c r="S447" s="36"/>
      <c r="T447" s="36"/>
    </row>
    <row r="448" spans="1:20" ht="15.75">
      <c r="A448" s="13">
        <v>55153</v>
      </c>
      <c r="B448" s="44">
        <v>31</v>
      </c>
      <c r="C448" s="35">
        <v>122.58</v>
      </c>
      <c r="D448" s="35">
        <v>297.94099999999997</v>
      </c>
      <c r="E448" s="41">
        <v>729.47900000000004</v>
      </c>
      <c r="F448" s="35">
        <v>1150</v>
      </c>
      <c r="G448" s="35">
        <v>100</v>
      </c>
      <c r="H448" s="43">
        <v>600</v>
      </c>
      <c r="I448" s="35">
        <v>695</v>
      </c>
      <c r="J448" s="35">
        <v>50</v>
      </c>
      <c r="K448" s="36"/>
      <c r="L448" s="36"/>
      <c r="M448" s="36"/>
      <c r="N448" s="36"/>
      <c r="O448" s="36"/>
      <c r="P448" s="36"/>
      <c r="Q448" s="36"/>
      <c r="R448" s="36"/>
      <c r="S448" s="36"/>
      <c r="T448" s="36"/>
    </row>
    <row r="449" spans="1:20" ht="15.75">
      <c r="A449" s="13">
        <v>55184</v>
      </c>
      <c r="B449" s="44">
        <v>31</v>
      </c>
      <c r="C449" s="35">
        <v>122.58</v>
      </c>
      <c r="D449" s="35">
        <v>297.94099999999997</v>
      </c>
      <c r="E449" s="41">
        <v>729.47900000000004</v>
      </c>
      <c r="F449" s="35">
        <v>1150</v>
      </c>
      <c r="G449" s="35">
        <v>100</v>
      </c>
      <c r="H449" s="43">
        <v>600</v>
      </c>
      <c r="I449" s="35">
        <v>695</v>
      </c>
      <c r="J449" s="35">
        <v>50</v>
      </c>
      <c r="K449" s="36"/>
      <c r="L449" s="36"/>
      <c r="M449" s="36"/>
      <c r="N449" s="36"/>
      <c r="O449" s="36"/>
      <c r="P449" s="36"/>
      <c r="Q449" s="36"/>
      <c r="R449" s="36"/>
      <c r="S449" s="36"/>
      <c r="T449" s="36"/>
    </row>
    <row r="450" spans="1:20" ht="15.75">
      <c r="A450" s="13">
        <v>55212</v>
      </c>
      <c r="B450" s="44">
        <v>28</v>
      </c>
      <c r="C450" s="35">
        <v>122.58</v>
      </c>
      <c r="D450" s="35">
        <v>297.94099999999997</v>
      </c>
      <c r="E450" s="41">
        <v>729.47900000000004</v>
      </c>
      <c r="F450" s="35">
        <v>1150</v>
      </c>
      <c r="G450" s="35">
        <v>100</v>
      </c>
      <c r="H450" s="43">
        <v>600</v>
      </c>
      <c r="I450" s="35">
        <v>695</v>
      </c>
      <c r="J450" s="35">
        <v>50</v>
      </c>
      <c r="K450" s="36"/>
      <c r="L450" s="36"/>
      <c r="M450" s="36"/>
      <c r="N450" s="36"/>
      <c r="O450" s="36"/>
      <c r="P450" s="36"/>
      <c r="Q450" s="36"/>
      <c r="R450" s="36"/>
      <c r="S450" s="36"/>
      <c r="T450" s="36"/>
    </row>
    <row r="451" spans="1:20" ht="15.75">
      <c r="A451" s="13">
        <v>55243</v>
      </c>
      <c r="B451" s="44">
        <v>31</v>
      </c>
      <c r="C451" s="35">
        <v>122.58</v>
      </c>
      <c r="D451" s="35">
        <v>297.94099999999997</v>
      </c>
      <c r="E451" s="41">
        <v>729.47900000000004</v>
      </c>
      <c r="F451" s="35">
        <v>1150</v>
      </c>
      <c r="G451" s="35">
        <v>100</v>
      </c>
      <c r="H451" s="43">
        <v>600</v>
      </c>
      <c r="I451" s="35">
        <v>695</v>
      </c>
      <c r="J451" s="35">
        <v>50</v>
      </c>
      <c r="K451" s="36"/>
      <c r="L451" s="36"/>
      <c r="M451" s="36"/>
      <c r="N451" s="36"/>
      <c r="O451" s="36"/>
      <c r="P451" s="36"/>
      <c r="Q451" s="36"/>
      <c r="R451" s="36"/>
      <c r="S451" s="36"/>
      <c r="T451" s="36"/>
    </row>
    <row r="452" spans="1:20" ht="15.75">
      <c r="A452" s="13">
        <v>55273</v>
      </c>
      <c r="B452" s="44">
        <v>30</v>
      </c>
      <c r="C452" s="35">
        <v>141.29300000000001</v>
      </c>
      <c r="D452" s="35">
        <v>267.99299999999999</v>
      </c>
      <c r="E452" s="41">
        <v>829.71400000000006</v>
      </c>
      <c r="F452" s="35">
        <v>1239</v>
      </c>
      <c r="G452" s="35">
        <v>100</v>
      </c>
      <c r="H452" s="43">
        <v>600</v>
      </c>
      <c r="I452" s="35">
        <v>695</v>
      </c>
      <c r="J452" s="35">
        <v>50</v>
      </c>
      <c r="K452" s="36"/>
      <c r="L452" s="36"/>
      <c r="M452" s="36"/>
      <c r="N452" s="36"/>
      <c r="O452" s="36"/>
      <c r="P452" s="36"/>
      <c r="Q452" s="36"/>
      <c r="R452" s="36"/>
      <c r="S452" s="36"/>
      <c r="T452" s="36"/>
    </row>
    <row r="453" spans="1:20" ht="15.75">
      <c r="A453" s="13">
        <v>55304</v>
      </c>
      <c r="B453" s="44">
        <v>31</v>
      </c>
      <c r="C453" s="35">
        <v>194.20500000000001</v>
      </c>
      <c r="D453" s="35">
        <v>267.46600000000001</v>
      </c>
      <c r="E453" s="41">
        <v>812.32899999999995</v>
      </c>
      <c r="F453" s="35">
        <v>1274</v>
      </c>
      <c r="G453" s="35">
        <v>75</v>
      </c>
      <c r="H453" s="43">
        <v>600</v>
      </c>
      <c r="I453" s="35">
        <v>695</v>
      </c>
      <c r="J453" s="35">
        <v>50</v>
      </c>
      <c r="K453" s="36"/>
      <c r="L453" s="36"/>
      <c r="M453" s="36"/>
      <c r="N453" s="36"/>
      <c r="O453" s="36"/>
      <c r="P453" s="36"/>
      <c r="Q453" s="36"/>
      <c r="R453" s="36"/>
      <c r="S453" s="36"/>
      <c r="T453" s="36"/>
    </row>
    <row r="454" spans="1:20" ht="15.75">
      <c r="A454" s="13">
        <v>55334</v>
      </c>
      <c r="B454" s="44">
        <v>30</v>
      </c>
      <c r="C454" s="35">
        <v>194.20500000000001</v>
      </c>
      <c r="D454" s="35">
        <v>267.46600000000001</v>
      </c>
      <c r="E454" s="41">
        <v>812.32899999999995</v>
      </c>
      <c r="F454" s="35">
        <v>1274</v>
      </c>
      <c r="G454" s="35">
        <v>50</v>
      </c>
      <c r="H454" s="43">
        <v>600</v>
      </c>
      <c r="I454" s="35">
        <v>695</v>
      </c>
      <c r="J454" s="35">
        <v>50</v>
      </c>
      <c r="K454" s="36"/>
      <c r="L454" s="36"/>
      <c r="M454" s="36"/>
      <c r="N454" s="36"/>
      <c r="O454" s="36"/>
      <c r="P454" s="36"/>
      <c r="Q454" s="36"/>
      <c r="R454" s="36"/>
      <c r="S454" s="36"/>
      <c r="T454" s="36"/>
    </row>
    <row r="455" spans="1:20" ht="15.75">
      <c r="A455" s="13">
        <v>55365</v>
      </c>
      <c r="B455" s="44">
        <v>31</v>
      </c>
      <c r="C455" s="35">
        <v>194.20500000000001</v>
      </c>
      <c r="D455" s="35">
        <v>267.46600000000001</v>
      </c>
      <c r="E455" s="41">
        <v>812.32899999999995</v>
      </c>
      <c r="F455" s="35">
        <v>1274</v>
      </c>
      <c r="G455" s="35">
        <v>50</v>
      </c>
      <c r="H455" s="43">
        <v>600</v>
      </c>
      <c r="I455" s="35">
        <v>695</v>
      </c>
      <c r="J455" s="35">
        <v>0</v>
      </c>
      <c r="K455" s="36"/>
      <c r="L455" s="36"/>
      <c r="M455" s="36"/>
      <c r="N455" s="36"/>
      <c r="O455" s="36"/>
      <c r="P455" s="36"/>
      <c r="Q455" s="36"/>
      <c r="R455" s="36"/>
      <c r="S455" s="36"/>
      <c r="T455" s="36"/>
    </row>
    <row r="456" spans="1:20" ht="15.75">
      <c r="A456" s="13">
        <v>55396</v>
      </c>
      <c r="B456" s="44">
        <v>31</v>
      </c>
      <c r="C456" s="35">
        <v>194.20500000000001</v>
      </c>
      <c r="D456" s="35">
        <v>267.46600000000001</v>
      </c>
      <c r="E456" s="41">
        <v>812.32899999999995</v>
      </c>
      <c r="F456" s="35">
        <v>1274</v>
      </c>
      <c r="G456" s="35">
        <v>50</v>
      </c>
      <c r="H456" s="43">
        <v>600</v>
      </c>
      <c r="I456" s="35">
        <v>695</v>
      </c>
      <c r="J456" s="35">
        <v>0</v>
      </c>
      <c r="K456" s="36"/>
      <c r="L456" s="36"/>
      <c r="M456" s="36"/>
      <c r="N456" s="36"/>
      <c r="O456" s="36"/>
      <c r="P456" s="36"/>
      <c r="Q456" s="36"/>
      <c r="R456" s="36"/>
      <c r="S456" s="36"/>
      <c r="T456" s="36"/>
    </row>
    <row r="457" spans="1:20" ht="15.75">
      <c r="A457" s="13">
        <v>55426</v>
      </c>
      <c r="B457" s="44">
        <v>30</v>
      </c>
      <c r="C457" s="35">
        <v>194.20500000000001</v>
      </c>
      <c r="D457" s="35">
        <v>267.46600000000001</v>
      </c>
      <c r="E457" s="41">
        <v>812.32899999999995</v>
      </c>
      <c r="F457" s="35">
        <v>1274</v>
      </c>
      <c r="G457" s="35">
        <v>50</v>
      </c>
      <c r="H457" s="43">
        <v>600</v>
      </c>
      <c r="I457" s="35">
        <v>695</v>
      </c>
      <c r="J457" s="35">
        <v>0</v>
      </c>
      <c r="K457" s="36"/>
      <c r="L457" s="36"/>
      <c r="M457" s="36"/>
      <c r="N457" s="36"/>
      <c r="O457" s="36"/>
      <c r="P457" s="36"/>
      <c r="Q457" s="36"/>
      <c r="R457" s="36"/>
      <c r="S457" s="36"/>
      <c r="T457" s="36"/>
    </row>
    <row r="458" spans="1:20" ht="15.75">
      <c r="A458" s="13">
        <v>55457</v>
      </c>
      <c r="B458" s="44">
        <v>31</v>
      </c>
      <c r="C458" s="35">
        <v>131.881</v>
      </c>
      <c r="D458" s="35">
        <v>277.16699999999997</v>
      </c>
      <c r="E458" s="41">
        <v>829.952</v>
      </c>
      <c r="F458" s="35">
        <v>1239</v>
      </c>
      <c r="G458" s="35">
        <v>75</v>
      </c>
      <c r="H458" s="43">
        <v>600</v>
      </c>
      <c r="I458" s="35">
        <v>695</v>
      </c>
      <c r="J458" s="35">
        <v>0</v>
      </c>
      <c r="K458" s="36"/>
      <c r="L458" s="36"/>
      <c r="M458" s="36"/>
      <c r="N458" s="36"/>
      <c r="O458" s="36"/>
      <c r="P458" s="36"/>
      <c r="Q458" s="36"/>
      <c r="R458" s="36"/>
      <c r="S458" s="36"/>
      <c r="T458" s="36"/>
    </row>
    <row r="459" spans="1:20" ht="15.75">
      <c r="A459" s="13">
        <v>55487</v>
      </c>
      <c r="B459" s="44">
        <v>30</v>
      </c>
      <c r="C459" s="35">
        <v>122.58</v>
      </c>
      <c r="D459" s="35">
        <v>297.94099999999997</v>
      </c>
      <c r="E459" s="41">
        <v>729.47900000000004</v>
      </c>
      <c r="F459" s="35">
        <v>1150</v>
      </c>
      <c r="G459" s="35">
        <v>100</v>
      </c>
      <c r="H459" s="43">
        <v>600</v>
      </c>
      <c r="I459" s="35">
        <v>695</v>
      </c>
      <c r="J459" s="35">
        <v>50</v>
      </c>
      <c r="K459" s="36"/>
      <c r="L459" s="36"/>
      <c r="M459" s="36"/>
      <c r="N459" s="36"/>
      <c r="O459" s="36"/>
      <c r="P459" s="36"/>
      <c r="Q459" s="36"/>
      <c r="R459" s="36"/>
      <c r="S459" s="36"/>
      <c r="T459" s="36"/>
    </row>
    <row r="460" spans="1:20" ht="15.75">
      <c r="A460" s="13">
        <v>55518</v>
      </c>
      <c r="B460" s="44">
        <v>31</v>
      </c>
      <c r="C460" s="35">
        <v>122.58</v>
      </c>
      <c r="D460" s="35">
        <v>297.94099999999997</v>
      </c>
      <c r="E460" s="41">
        <v>729.47900000000004</v>
      </c>
      <c r="F460" s="35">
        <v>1150</v>
      </c>
      <c r="G460" s="35">
        <v>100</v>
      </c>
      <c r="H460" s="43">
        <v>600</v>
      </c>
      <c r="I460" s="35">
        <v>695</v>
      </c>
      <c r="J460" s="35">
        <v>50</v>
      </c>
      <c r="K460" s="36"/>
      <c r="L460" s="36"/>
      <c r="M460" s="36"/>
      <c r="N460" s="36"/>
      <c r="O460" s="36"/>
      <c r="P460" s="36"/>
      <c r="Q460" s="36"/>
      <c r="R460" s="36"/>
      <c r="S460" s="36"/>
      <c r="T460" s="36"/>
    </row>
    <row r="461" spans="1:20" ht="15.75">
      <c r="A461" s="13">
        <v>55549</v>
      </c>
      <c r="B461" s="44">
        <v>31</v>
      </c>
      <c r="C461" s="35">
        <v>122.58</v>
      </c>
      <c r="D461" s="35">
        <v>297.94099999999997</v>
      </c>
      <c r="E461" s="41">
        <v>729.47900000000004</v>
      </c>
      <c r="F461" s="35">
        <v>1150</v>
      </c>
      <c r="G461" s="35">
        <v>100</v>
      </c>
      <c r="H461" s="43">
        <v>600</v>
      </c>
      <c r="I461" s="35">
        <v>695</v>
      </c>
      <c r="J461" s="35">
        <v>50</v>
      </c>
      <c r="K461" s="36"/>
      <c r="L461" s="36"/>
      <c r="M461" s="36"/>
      <c r="N461" s="36"/>
      <c r="O461" s="36"/>
      <c r="P461" s="36"/>
      <c r="Q461" s="36"/>
      <c r="R461" s="36"/>
      <c r="S461" s="36"/>
      <c r="T461" s="36"/>
    </row>
    <row r="462" spans="1:20" ht="15.75">
      <c r="A462" s="13">
        <v>55577</v>
      </c>
      <c r="B462" s="44">
        <v>29</v>
      </c>
      <c r="C462" s="35">
        <v>122.58</v>
      </c>
      <c r="D462" s="35">
        <v>297.94099999999997</v>
      </c>
      <c r="E462" s="41">
        <v>729.47900000000004</v>
      </c>
      <c r="F462" s="35">
        <v>1150</v>
      </c>
      <c r="G462" s="35">
        <v>100</v>
      </c>
      <c r="H462" s="43">
        <v>600</v>
      </c>
      <c r="I462" s="35">
        <v>695</v>
      </c>
      <c r="J462" s="35">
        <v>50</v>
      </c>
      <c r="K462" s="36"/>
      <c r="L462" s="36"/>
      <c r="M462" s="36"/>
      <c r="N462" s="36"/>
      <c r="O462" s="36"/>
      <c r="P462" s="36"/>
      <c r="Q462" s="36"/>
      <c r="R462" s="36"/>
      <c r="S462" s="36"/>
      <c r="T462" s="36"/>
    </row>
    <row r="463" spans="1:20" ht="15.75">
      <c r="A463" s="13">
        <v>55609</v>
      </c>
      <c r="B463" s="44">
        <v>31</v>
      </c>
      <c r="C463" s="35">
        <v>122.58</v>
      </c>
      <c r="D463" s="35">
        <v>297.94099999999997</v>
      </c>
      <c r="E463" s="41">
        <v>729.47900000000004</v>
      </c>
      <c r="F463" s="35">
        <v>1150</v>
      </c>
      <c r="G463" s="35">
        <v>100</v>
      </c>
      <c r="H463" s="43">
        <v>600</v>
      </c>
      <c r="I463" s="35">
        <v>695</v>
      </c>
      <c r="J463" s="35">
        <v>50</v>
      </c>
      <c r="K463" s="36"/>
      <c r="L463" s="36"/>
      <c r="M463" s="36"/>
      <c r="N463" s="36"/>
      <c r="O463" s="36"/>
      <c r="P463" s="36"/>
      <c r="Q463" s="36"/>
      <c r="R463" s="36"/>
      <c r="S463" s="36"/>
      <c r="T463" s="36"/>
    </row>
    <row r="464" spans="1:20" ht="15.75">
      <c r="A464" s="13">
        <v>55639</v>
      </c>
      <c r="B464" s="44">
        <v>30</v>
      </c>
      <c r="C464" s="35">
        <v>141.29300000000001</v>
      </c>
      <c r="D464" s="35">
        <v>267.99299999999999</v>
      </c>
      <c r="E464" s="41">
        <v>829.71400000000006</v>
      </c>
      <c r="F464" s="35">
        <v>1239</v>
      </c>
      <c r="G464" s="35">
        <v>100</v>
      </c>
      <c r="H464" s="43">
        <v>600</v>
      </c>
      <c r="I464" s="35">
        <v>695</v>
      </c>
      <c r="J464" s="35">
        <v>50</v>
      </c>
      <c r="K464" s="36"/>
      <c r="L464" s="36"/>
      <c r="M464" s="36"/>
      <c r="N464" s="36"/>
      <c r="O464" s="36"/>
      <c r="P464" s="36"/>
      <c r="Q464" s="36"/>
      <c r="R464" s="36"/>
      <c r="S464" s="36"/>
      <c r="T464" s="36"/>
    </row>
    <row r="465" spans="1:20" ht="15.75">
      <c r="A465" s="13">
        <v>55670</v>
      </c>
      <c r="B465" s="44">
        <v>31</v>
      </c>
      <c r="C465" s="35">
        <v>194.20500000000001</v>
      </c>
      <c r="D465" s="35">
        <v>267.46600000000001</v>
      </c>
      <c r="E465" s="41">
        <v>812.32899999999995</v>
      </c>
      <c r="F465" s="35">
        <v>1274</v>
      </c>
      <c r="G465" s="35">
        <v>75</v>
      </c>
      <c r="H465" s="43">
        <v>600</v>
      </c>
      <c r="I465" s="35">
        <v>695</v>
      </c>
      <c r="J465" s="35">
        <v>50</v>
      </c>
      <c r="K465" s="36"/>
      <c r="L465" s="36"/>
      <c r="M465" s="36"/>
      <c r="N465" s="36"/>
      <c r="O465" s="36"/>
      <c r="P465" s="36"/>
      <c r="Q465" s="36"/>
      <c r="R465" s="36"/>
      <c r="S465" s="36"/>
      <c r="T465" s="36"/>
    </row>
    <row r="466" spans="1:20" ht="15.75">
      <c r="A466" s="13">
        <v>55700</v>
      </c>
      <c r="B466" s="44">
        <v>30</v>
      </c>
      <c r="C466" s="35">
        <v>194.20500000000001</v>
      </c>
      <c r="D466" s="35">
        <v>267.46600000000001</v>
      </c>
      <c r="E466" s="41">
        <v>812.32899999999995</v>
      </c>
      <c r="F466" s="35">
        <v>1274</v>
      </c>
      <c r="G466" s="35">
        <v>50</v>
      </c>
      <c r="H466" s="43">
        <v>600</v>
      </c>
      <c r="I466" s="35">
        <v>695</v>
      </c>
      <c r="J466" s="35">
        <v>50</v>
      </c>
      <c r="K466" s="36"/>
      <c r="L466" s="36"/>
      <c r="M466" s="36"/>
      <c r="N466" s="36"/>
      <c r="O466" s="36"/>
      <c r="P466" s="36"/>
      <c r="Q466" s="36"/>
      <c r="R466" s="36"/>
      <c r="S466" s="36"/>
      <c r="T466" s="36"/>
    </row>
    <row r="467" spans="1:20" ht="15.75">
      <c r="A467" s="13">
        <v>55731</v>
      </c>
      <c r="B467" s="44">
        <v>31</v>
      </c>
      <c r="C467" s="35">
        <v>194.20500000000001</v>
      </c>
      <c r="D467" s="35">
        <v>267.46600000000001</v>
      </c>
      <c r="E467" s="41">
        <v>812.32899999999995</v>
      </c>
      <c r="F467" s="35">
        <v>1274</v>
      </c>
      <c r="G467" s="35">
        <v>50</v>
      </c>
      <c r="H467" s="43">
        <v>600</v>
      </c>
      <c r="I467" s="35">
        <v>695</v>
      </c>
      <c r="J467" s="35">
        <v>0</v>
      </c>
      <c r="K467" s="36"/>
      <c r="L467" s="36"/>
      <c r="M467" s="36"/>
      <c r="N467" s="36"/>
      <c r="O467" s="36"/>
      <c r="P467" s="36"/>
      <c r="Q467" s="36"/>
      <c r="R467" s="36"/>
      <c r="S467" s="36"/>
      <c r="T467" s="36"/>
    </row>
    <row r="468" spans="1:20" ht="15.75">
      <c r="A468" s="13">
        <v>55762</v>
      </c>
      <c r="B468" s="44">
        <v>31</v>
      </c>
      <c r="C468" s="35">
        <v>194.20500000000001</v>
      </c>
      <c r="D468" s="35">
        <v>267.46600000000001</v>
      </c>
      <c r="E468" s="41">
        <v>812.32899999999995</v>
      </c>
      <c r="F468" s="35">
        <v>1274</v>
      </c>
      <c r="G468" s="35">
        <v>50</v>
      </c>
      <c r="H468" s="43">
        <v>600</v>
      </c>
      <c r="I468" s="35">
        <v>695</v>
      </c>
      <c r="J468" s="35">
        <v>0</v>
      </c>
      <c r="K468" s="36"/>
      <c r="L468" s="36"/>
      <c r="M468" s="36"/>
      <c r="N468" s="36"/>
      <c r="O468" s="36"/>
      <c r="P468" s="36"/>
      <c r="Q468" s="36"/>
      <c r="R468" s="36"/>
      <c r="S468" s="36"/>
      <c r="T468" s="36"/>
    </row>
    <row r="469" spans="1:20" ht="15.75">
      <c r="A469" s="13">
        <v>55792</v>
      </c>
      <c r="B469" s="44">
        <v>30</v>
      </c>
      <c r="C469" s="35">
        <v>194.20500000000001</v>
      </c>
      <c r="D469" s="35">
        <v>267.46600000000001</v>
      </c>
      <c r="E469" s="41">
        <v>812.32899999999995</v>
      </c>
      <c r="F469" s="35">
        <v>1274</v>
      </c>
      <c r="G469" s="35">
        <v>50</v>
      </c>
      <c r="H469" s="43">
        <v>600</v>
      </c>
      <c r="I469" s="35">
        <v>695</v>
      </c>
      <c r="J469" s="35">
        <v>0</v>
      </c>
      <c r="K469" s="36"/>
      <c r="L469" s="36"/>
      <c r="M469" s="36"/>
      <c r="N469" s="36"/>
      <c r="O469" s="36"/>
      <c r="P469" s="36"/>
      <c r="Q469" s="36"/>
      <c r="R469" s="36"/>
      <c r="S469" s="36"/>
      <c r="T469" s="36"/>
    </row>
    <row r="470" spans="1:20" ht="15.75">
      <c r="A470" s="13">
        <v>55823</v>
      </c>
      <c r="B470" s="44">
        <v>31</v>
      </c>
      <c r="C470" s="35">
        <v>131.881</v>
      </c>
      <c r="D470" s="35">
        <v>277.16699999999997</v>
      </c>
      <c r="E470" s="41">
        <v>829.952</v>
      </c>
      <c r="F470" s="35">
        <v>1239</v>
      </c>
      <c r="G470" s="35">
        <v>75</v>
      </c>
      <c r="H470" s="43">
        <v>600</v>
      </c>
      <c r="I470" s="35">
        <v>695</v>
      </c>
      <c r="J470" s="35">
        <v>0</v>
      </c>
      <c r="K470" s="36"/>
      <c r="L470" s="36"/>
      <c r="M470" s="36"/>
      <c r="N470" s="36"/>
      <c r="O470" s="36"/>
      <c r="P470" s="36"/>
      <c r="Q470" s="36"/>
      <c r="R470" s="36"/>
      <c r="S470" s="36"/>
      <c r="T470" s="36"/>
    </row>
    <row r="471" spans="1:20" ht="15.75">
      <c r="A471" s="13">
        <v>55853</v>
      </c>
      <c r="B471" s="44">
        <v>30</v>
      </c>
      <c r="C471" s="35">
        <v>122.58</v>
      </c>
      <c r="D471" s="35">
        <v>297.94099999999997</v>
      </c>
      <c r="E471" s="41">
        <v>729.47900000000004</v>
      </c>
      <c r="F471" s="35">
        <v>1150</v>
      </c>
      <c r="G471" s="35">
        <v>100</v>
      </c>
      <c r="H471" s="43">
        <v>600</v>
      </c>
      <c r="I471" s="35">
        <v>695</v>
      </c>
      <c r="J471" s="35">
        <v>50</v>
      </c>
      <c r="K471" s="36"/>
      <c r="L471" s="36"/>
      <c r="M471" s="36"/>
      <c r="N471" s="36"/>
      <c r="O471" s="36"/>
      <c r="P471" s="36"/>
      <c r="Q471" s="36"/>
      <c r="R471" s="36"/>
      <c r="S471" s="36"/>
      <c r="T471" s="36"/>
    </row>
    <row r="472" spans="1:20" ht="15.75">
      <c r="A472" s="13">
        <v>55884</v>
      </c>
      <c r="B472" s="44">
        <v>31</v>
      </c>
      <c r="C472" s="35">
        <v>122.58</v>
      </c>
      <c r="D472" s="35">
        <v>297.94099999999997</v>
      </c>
      <c r="E472" s="41">
        <v>729.47900000000004</v>
      </c>
      <c r="F472" s="35">
        <v>1150</v>
      </c>
      <c r="G472" s="35">
        <v>100</v>
      </c>
      <c r="H472" s="43">
        <v>600</v>
      </c>
      <c r="I472" s="35">
        <v>695</v>
      </c>
      <c r="J472" s="35">
        <v>50</v>
      </c>
      <c r="K472" s="36"/>
      <c r="L472" s="36"/>
      <c r="M472" s="36"/>
      <c r="N472" s="36"/>
      <c r="O472" s="36"/>
      <c r="P472" s="36"/>
      <c r="Q472" s="36"/>
      <c r="R472" s="36"/>
      <c r="S472" s="36"/>
      <c r="T472" s="36"/>
    </row>
    <row r="473" spans="1:20" ht="15.75">
      <c r="A473" s="13">
        <v>55915</v>
      </c>
      <c r="B473" s="44">
        <v>31</v>
      </c>
      <c r="C473" s="35">
        <v>122.58</v>
      </c>
      <c r="D473" s="35">
        <v>297.94099999999997</v>
      </c>
      <c r="E473" s="41">
        <v>729.47900000000004</v>
      </c>
      <c r="F473" s="35">
        <v>1150</v>
      </c>
      <c r="G473" s="35">
        <v>100</v>
      </c>
      <c r="H473" s="43">
        <v>600</v>
      </c>
      <c r="I473" s="35">
        <v>695</v>
      </c>
      <c r="J473" s="35">
        <v>50</v>
      </c>
      <c r="K473" s="36"/>
      <c r="L473" s="36"/>
      <c r="M473" s="36"/>
      <c r="N473" s="36"/>
      <c r="O473" s="36"/>
      <c r="P473" s="36"/>
      <c r="Q473" s="36"/>
      <c r="R473" s="36"/>
      <c r="S473" s="36"/>
      <c r="T473" s="36"/>
    </row>
    <row r="474" spans="1:20" ht="15.75">
      <c r="A474" s="13">
        <v>55943</v>
      </c>
      <c r="B474" s="44">
        <v>28</v>
      </c>
      <c r="C474" s="35">
        <v>122.58</v>
      </c>
      <c r="D474" s="35">
        <v>297.94099999999997</v>
      </c>
      <c r="E474" s="41">
        <v>729.47900000000004</v>
      </c>
      <c r="F474" s="35">
        <v>1150</v>
      </c>
      <c r="G474" s="35">
        <v>100</v>
      </c>
      <c r="H474" s="43">
        <v>600</v>
      </c>
      <c r="I474" s="35">
        <v>695</v>
      </c>
      <c r="J474" s="35">
        <v>50</v>
      </c>
      <c r="K474" s="36"/>
      <c r="L474" s="36"/>
      <c r="M474" s="36"/>
      <c r="N474" s="36"/>
      <c r="O474" s="36"/>
      <c r="P474" s="36"/>
      <c r="Q474" s="36"/>
      <c r="R474" s="36"/>
      <c r="S474" s="36"/>
      <c r="T474" s="36"/>
    </row>
    <row r="475" spans="1:20" ht="15.75">
      <c r="A475" s="13">
        <v>55974</v>
      </c>
      <c r="B475" s="44">
        <v>31</v>
      </c>
      <c r="C475" s="35">
        <v>122.58</v>
      </c>
      <c r="D475" s="35">
        <v>297.94099999999997</v>
      </c>
      <c r="E475" s="41">
        <v>729.47900000000004</v>
      </c>
      <c r="F475" s="35">
        <v>1150</v>
      </c>
      <c r="G475" s="35">
        <v>100</v>
      </c>
      <c r="H475" s="43">
        <v>600</v>
      </c>
      <c r="I475" s="35">
        <v>695</v>
      </c>
      <c r="J475" s="35">
        <v>50</v>
      </c>
      <c r="K475" s="36"/>
      <c r="L475" s="36"/>
      <c r="M475" s="36"/>
      <c r="N475" s="36"/>
      <c r="O475" s="36"/>
      <c r="P475" s="36"/>
      <c r="Q475" s="36"/>
      <c r="R475" s="36"/>
      <c r="S475" s="36"/>
      <c r="T475" s="36"/>
    </row>
    <row r="476" spans="1:20" ht="15.75">
      <c r="A476" s="13">
        <v>56004</v>
      </c>
      <c r="B476" s="44">
        <v>30</v>
      </c>
      <c r="C476" s="35">
        <v>141.29300000000001</v>
      </c>
      <c r="D476" s="35">
        <v>267.99299999999999</v>
      </c>
      <c r="E476" s="41">
        <v>829.71400000000006</v>
      </c>
      <c r="F476" s="35">
        <v>1239</v>
      </c>
      <c r="G476" s="35">
        <v>100</v>
      </c>
      <c r="H476" s="43">
        <v>600</v>
      </c>
      <c r="I476" s="35">
        <v>695</v>
      </c>
      <c r="J476" s="35">
        <v>50</v>
      </c>
      <c r="K476" s="36"/>
      <c r="L476" s="36"/>
      <c r="M476" s="36"/>
      <c r="N476" s="36"/>
      <c r="O476" s="36"/>
      <c r="P476" s="36"/>
      <c r="Q476" s="36"/>
      <c r="R476" s="36"/>
      <c r="S476" s="36"/>
      <c r="T476" s="36"/>
    </row>
    <row r="477" spans="1:20" ht="15.75">
      <c r="A477" s="13">
        <v>56035</v>
      </c>
      <c r="B477" s="44">
        <v>31</v>
      </c>
      <c r="C477" s="35">
        <v>194.20500000000001</v>
      </c>
      <c r="D477" s="35">
        <v>267.46600000000001</v>
      </c>
      <c r="E477" s="41">
        <v>812.32899999999995</v>
      </c>
      <c r="F477" s="35">
        <v>1274</v>
      </c>
      <c r="G477" s="35">
        <v>75</v>
      </c>
      <c r="H477" s="43">
        <v>600</v>
      </c>
      <c r="I477" s="35">
        <v>695</v>
      </c>
      <c r="J477" s="35">
        <v>50</v>
      </c>
      <c r="K477" s="36"/>
      <c r="L477" s="36"/>
      <c r="M477" s="36"/>
      <c r="N477" s="36"/>
      <c r="O477" s="36"/>
      <c r="P477" s="36"/>
      <c r="Q477" s="36"/>
      <c r="R477" s="36"/>
      <c r="S477" s="36"/>
      <c r="T477" s="36"/>
    </row>
    <row r="478" spans="1:20" ht="15.75">
      <c r="A478" s="13">
        <v>56065</v>
      </c>
      <c r="B478" s="44">
        <v>30</v>
      </c>
      <c r="C478" s="35">
        <v>194.20500000000001</v>
      </c>
      <c r="D478" s="35">
        <v>267.46600000000001</v>
      </c>
      <c r="E478" s="41">
        <v>812.32899999999995</v>
      </c>
      <c r="F478" s="35">
        <v>1274</v>
      </c>
      <c r="G478" s="35">
        <v>50</v>
      </c>
      <c r="H478" s="43">
        <v>600</v>
      </c>
      <c r="I478" s="35">
        <v>695</v>
      </c>
      <c r="J478" s="35">
        <v>50</v>
      </c>
      <c r="K478" s="36"/>
      <c r="L478" s="36"/>
      <c r="M478" s="36"/>
      <c r="N478" s="36"/>
      <c r="O478" s="36"/>
      <c r="P478" s="36"/>
      <c r="Q478" s="36"/>
      <c r="R478" s="36"/>
      <c r="S478" s="36"/>
      <c r="T478" s="36"/>
    </row>
    <row r="479" spans="1:20" ht="15.75">
      <c r="A479" s="13">
        <v>56096</v>
      </c>
      <c r="B479" s="44">
        <v>31</v>
      </c>
      <c r="C479" s="35">
        <v>194.20500000000001</v>
      </c>
      <c r="D479" s="35">
        <v>267.46600000000001</v>
      </c>
      <c r="E479" s="41">
        <v>812.32899999999995</v>
      </c>
      <c r="F479" s="35">
        <v>1274</v>
      </c>
      <c r="G479" s="35">
        <v>50</v>
      </c>
      <c r="H479" s="43">
        <v>600</v>
      </c>
      <c r="I479" s="35">
        <v>695</v>
      </c>
      <c r="J479" s="35">
        <v>0</v>
      </c>
      <c r="K479" s="36"/>
      <c r="L479" s="36"/>
      <c r="M479" s="36"/>
      <c r="N479" s="36"/>
      <c r="O479" s="36"/>
      <c r="P479" s="36"/>
      <c r="Q479" s="36"/>
      <c r="R479" s="36"/>
      <c r="S479" s="36"/>
      <c r="T479" s="36"/>
    </row>
    <row r="480" spans="1:20" ht="15.75">
      <c r="A480" s="13">
        <v>56127</v>
      </c>
      <c r="B480" s="44">
        <v>31</v>
      </c>
      <c r="C480" s="35">
        <v>194.20500000000001</v>
      </c>
      <c r="D480" s="35">
        <v>267.46600000000001</v>
      </c>
      <c r="E480" s="41">
        <v>812.32899999999995</v>
      </c>
      <c r="F480" s="35">
        <v>1274</v>
      </c>
      <c r="G480" s="35">
        <v>50</v>
      </c>
      <c r="H480" s="43">
        <v>600</v>
      </c>
      <c r="I480" s="35">
        <v>695</v>
      </c>
      <c r="J480" s="35">
        <v>0</v>
      </c>
      <c r="K480" s="36"/>
      <c r="L480" s="36"/>
      <c r="M480" s="36"/>
      <c r="N480" s="36"/>
      <c r="O480" s="36"/>
      <c r="P480" s="36"/>
      <c r="Q480" s="36"/>
      <c r="R480" s="36"/>
      <c r="S480" s="36"/>
      <c r="T480" s="36"/>
    </row>
    <row r="481" spans="1:20" ht="15.75">
      <c r="A481" s="13">
        <v>56157</v>
      </c>
      <c r="B481" s="44">
        <v>30</v>
      </c>
      <c r="C481" s="35">
        <v>194.20500000000001</v>
      </c>
      <c r="D481" s="35">
        <v>267.46600000000001</v>
      </c>
      <c r="E481" s="41">
        <v>812.32899999999995</v>
      </c>
      <c r="F481" s="35">
        <v>1274</v>
      </c>
      <c r="G481" s="35">
        <v>50</v>
      </c>
      <c r="H481" s="43">
        <v>600</v>
      </c>
      <c r="I481" s="35">
        <v>695</v>
      </c>
      <c r="J481" s="35">
        <v>0</v>
      </c>
      <c r="K481" s="36"/>
      <c r="L481" s="36"/>
      <c r="M481" s="36"/>
      <c r="N481" s="36"/>
      <c r="O481" s="36"/>
      <c r="P481" s="36"/>
      <c r="Q481" s="36"/>
      <c r="R481" s="36"/>
      <c r="S481" s="36"/>
      <c r="T481" s="36"/>
    </row>
    <row r="482" spans="1:20" ht="15.75">
      <c r="A482" s="13">
        <v>56188</v>
      </c>
      <c r="B482" s="44">
        <v>31</v>
      </c>
      <c r="C482" s="35">
        <v>131.881</v>
      </c>
      <c r="D482" s="35">
        <v>277.16699999999997</v>
      </c>
      <c r="E482" s="41">
        <v>829.952</v>
      </c>
      <c r="F482" s="35">
        <v>1239</v>
      </c>
      <c r="G482" s="35">
        <v>75</v>
      </c>
      <c r="H482" s="43">
        <v>600</v>
      </c>
      <c r="I482" s="35">
        <v>695</v>
      </c>
      <c r="J482" s="35">
        <v>0</v>
      </c>
      <c r="K482" s="36"/>
      <c r="L482" s="36"/>
      <c r="M482" s="36"/>
      <c r="N482" s="36"/>
      <c r="O482" s="36"/>
      <c r="P482" s="36"/>
      <c r="Q482" s="36"/>
      <c r="R482" s="36"/>
      <c r="S482" s="36"/>
      <c r="T482" s="36"/>
    </row>
    <row r="483" spans="1:20" ht="15.75">
      <c r="A483" s="13">
        <v>56218</v>
      </c>
      <c r="B483" s="44">
        <v>30</v>
      </c>
      <c r="C483" s="35">
        <v>122.58</v>
      </c>
      <c r="D483" s="35">
        <v>297.94099999999997</v>
      </c>
      <c r="E483" s="41">
        <v>729.47900000000004</v>
      </c>
      <c r="F483" s="35">
        <v>1150</v>
      </c>
      <c r="G483" s="35">
        <v>100</v>
      </c>
      <c r="H483" s="43">
        <v>600</v>
      </c>
      <c r="I483" s="35">
        <v>695</v>
      </c>
      <c r="J483" s="35">
        <v>50</v>
      </c>
      <c r="K483" s="36"/>
      <c r="L483" s="36"/>
      <c r="M483" s="36"/>
      <c r="N483" s="36"/>
      <c r="O483" s="36"/>
      <c r="P483" s="36"/>
      <c r="Q483" s="36"/>
      <c r="R483" s="36"/>
      <c r="S483" s="36"/>
      <c r="T483" s="36"/>
    </row>
    <row r="484" spans="1:20" ht="15.75">
      <c r="A484" s="13">
        <v>56249</v>
      </c>
      <c r="B484" s="44">
        <v>31</v>
      </c>
      <c r="C484" s="35">
        <v>122.58</v>
      </c>
      <c r="D484" s="35">
        <v>297.94099999999997</v>
      </c>
      <c r="E484" s="41">
        <v>729.47900000000004</v>
      </c>
      <c r="F484" s="35">
        <v>1150</v>
      </c>
      <c r="G484" s="35">
        <v>100</v>
      </c>
      <c r="H484" s="43">
        <v>600</v>
      </c>
      <c r="I484" s="35">
        <v>695</v>
      </c>
      <c r="J484" s="35">
        <v>50</v>
      </c>
      <c r="K484" s="36"/>
      <c r="L484" s="36"/>
      <c r="M484" s="36"/>
      <c r="N484" s="36"/>
      <c r="O484" s="36"/>
      <c r="P484" s="36"/>
      <c r="Q484" s="36"/>
      <c r="R484" s="36"/>
      <c r="S484" s="36"/>
      <c r="T484" s="36"/>
    </row>
    <row r="485" spans="1:20" ht="15.75">
      <c r="A485" s="13">
        <v>56280</v>
      </c>
      <c r="B485" s="44">
        <v>31</v>
      </c>
      <c r="C485" s="35">
        <v>122.58</v>
      </c>
      <c r="D485" s="35">
        <v>297.94099999999997</v>
      </c>
      <c r="E485" s="41">
        <v>729.47900000000004</v>
      </c>
      <c r="F485" s="35">
        <v>1150</v>
      </c>
      <c r="G485" s="35">
        <v>100</v>
      </c>
      <c r="H485" s="43">
        <v>600</v>
      </c>
      <c r="I485" s="35">
        <v>695</v>
      </c>
      <c r="J485" s="35">
        <v>50</v>
      </c>
      <c r="K485" s="36"/>
      <c r="L485" s="36"/>
      <c r="M485" s="36"/>
      <c r="N485" s="36"/>
      <c r="O485" s="36"/>
      <c r="P485" s="36"/>
      <c r="Q485" s="36"/>
      <c r="R485" s="36"/>
      <c r="S485" s="36"/>
      <c r="T485" s="36"/>
    </row>
    <row r="486" spans="1:20" ht="15.75">
      <c r="A486" s="13">
        <v>56308</v>
      </c>
      <c r="B486" s="44">
        <v>28</v>
      </c>
      <c r="C486" s="35">
        <v>122.58</v>
      </c>
      <c r="D486" s="35">
        <v>297.94099999999997</v>
      </c>
      <c r="E486" s="41">
        <v>729.47900000000004</v>
      </c>
      <c r="F486" s="35">
        <v>1150</v>
      </c>
      <c r="G486" s="35">
        <v>100</v>
      </c>
      <c r="H486" s="43">
        <v>600</v>
      </c>
      <c r="I486" s="35">
        <v>695</v>
      </c>
      <c r="J486" s="35">
        <v>50</v>
      </c>
      <c r="K486" s="36"/>
      <c r="L486" s="36"/>
      <c r="M486" s="36"/>
      <c r="N486" s="36"/>
      <c r="O486" s="36"/>
      <c r="P486" s="36"/>
      <c r="Q486" s="36"/>
      <c r="R486" s="36"/>
      <c r="S486" s="36"/>
      <c r="T486" s="36"/>
    </row>
    <row r="487" spans="1:20" ht="15.75">
      <c r="A487" s="13">
        <v>56339</v>
      </c>
      <c r="B487" s="44">
        <v>31</v>
      </c>
      <c r="C487" s="35">
        <v>122.58</v>
      </c>
      <c r="D487" s="35">
        <v>297.94099999999997</v>
      </c>
      <c r="E487" s="41">
        <v>729.47900000000004</v>
      </c>
      <c r="F487" s="35">
        <v>1150</v>
      </c>
      <c r="G487" s="35">
        <v>100</v>
      </c>
      <c r="H487" s="43">
        <v>600</v>
      </c>
      <c r="I487" s="35">
        <v>695</v>
      </c>
      <c r="J487" s="35">
        <v>50</v>
      </c>
      <c r="K487" s="36"/>
      <c r="L487" s="36"/>
      <c r="M487" s="36"/>
      <c r="N487" s="36"/>
      <c r="O487" s="36"/>
      <c r="P487" s="36"/>
      <c r="Q487" s="36"/>
      <c r="R487" s="36"/>
      <c r="S487" s="36"/>
      <c r="T487" s="36"/>
    </row>
    <row r="488" spans="1:20" ht="15.75">
      <c r="A488" s="13">
        <v>56369</v>
      </c>
      <c r="B488" s="44">
        <v>30</v>
      </c>
      <c r="C488" s="35">
        <v>141.29300000000001</v>
      </c>
      <c r="D488" s="35">
        <v>267.99299999999999</v>
      </c>
      <c r="E488" s="41">
        <v>829.71400000000006</v>
      </c>
      <c r="F488" s="35">
        <v>1239</v>
      </c>
      <c r="G488" s="35">
        <v>100</v>
      </c>
      <c r="H488" s="43">
        <v>600</v>
      </c>
      <c r="I488" s="35">
        <v>695</v>
      </c>
      <c r="J488" s="35">
        <v>50</v>
      </c>
      <c r="K488" s="36"/>
      <c r="L488" s="36"/>
      <c r="M488" s="36"/>
      <c r="N488" s="36"/>
      <c r="O488" s="36"/>
      <c r="P488" s="36"/>
      <c r="Q488" s="36"/>
      <c r="R488" s="36"/>
      <c r="S488" s="36"/>
      <c r="T488" s="36"/>
    </row>
    <row r="489" spans="1:20" ht="15.75">
      <c r="A489" s="13">
        <v>56400</v>
      </c>
      <c r="B489" s="44">
        <v>31</v>
      </c>
      <c r="C489" s="35">
        <v>194.20500000000001</v>
      </c>
      <c r="D489" s="35">
        <v>267.46600000000001</v>
      </c>
      <c r="E489" s="41">
        <v>812.32899999999995</v>
      </c>
      <c r="F489" s="35">
        <v>1274</v>
      </c>
      <c r="G489" s="35">
        <v>75</v>
      </c>
      <c r="H489" s="43">
        <v>600</v>
      </c>
      <c r="I489" s="35">
        <v>695</v>
      </c>
      <c r="J489" s="35">
        <v>50</v>
      </c>
      <c r="K489" s="36"/>
      <c r="L489" s="36"/>
      <c r="M489" s="36"/>
      <c r="N489" s="36"/>
      <c r="O489" s="36"/>
      <c r="P489" s="36"/>
      <c r="Q489" s="36"/>
      <c r="R489" s="36"/>
      <c r="S489" s="36"/>
      <c r="T489" s="36"/>
    </row>
    <row r="490" spans="1:20" ht="15.75">
      <c r="A490" s="13">
        <v>56430</v>
      </c>
      <c r="B490" s="44">
        <v>30</v>
      </c>
      <c r="C490" s="35">
        <v>194.20500000000001</v>
      </c>
      <c r="D490" s="35">
        <v>267.46600000000001</v>
      </c>
      <c r="E490" s="41">
        <v>812.32899999999995</v>
      </c>
      <c r="F490" s="35">
        <v>1274</v>
      </c>
      <c r="G490" s="35">
        <v>50</v>
      </c>
      <c r="H490" s="43">
        <v>600</v>
      </c>
      <c r="I490" s="35">
        <v>695</v>
      </c>
      <c r="J490" s="35">
        <v>50</v>
      </c>
      <c r="K490" s="36"/>
      <c r="L490" s="36"/>
      <c r="M490" s="36"/>
      <c r="N490" s="36"/>
      <c r="O490" s="36"/>
      <c r="P490" s="36"/>
      <c r="Q490" s="36"/>
      <c r="R490" s="36"/>
      <c r="S490" s="36"/>
      <c r="T490" s="36"/>
    </row>
    <row r="491" spans="1:20" ht="15.75">
      <c r="A491" s="13">
        <v>56461</v>
      </c>
      <c r="B491" s="44">
        <v>31</v>
      </c>
      <c r="C491" s="35">
        <v>194.20500000000001</v>
      </c>
      <c r="D491" s="35">
        <v>267.46600000000001</v>
      </c>
      <c r="E491" s="41">
        <v>812.32899999999995</v>
      </c>
      <c r="F491" s="35">
        <v>1274</v>
      </c>
      <c r="G491" s="35">
        <v>50</v>
      </c>
      <c r="H491" s="43">
        <v>600</v>
      </c>
      <c r="I491" s="35">
        <v>695</v>
      </c>
      <c r="J491" s="35">
        <v>0</v>
      </c>
      <c r="K491" s="36"/>
      <c r="L491" s="36"/>
      <c r="M491" s="36"/>
      <c r="N491" s="36"/>
      <c r="O491" s="36"/>
      <c r="P491" s="36"/>
      <c r="Q491" s="36"/>
      <c r="R491" s="36"/>
      <c r="S491" s="36"/>
      <c r="T491" s="36"/>
    </row>
    <row r="492" spans="1:20" ht="15.75">
      <c r="A492" s="13">
        <v>56492</v>
      </c>
      <c r="B492" s="44">
        <v>31</v>
      </c>
      <c r="C492" s="35">
        <v>194.20500000000001</v>
      </c>
      <c r="D492" s="35">
        <v>267.46600000000001</v>
      </c>
      <c r="E492" s="41">
        <v>812.32899999999995</v>
      </c>
      <c r="F492" s="35">
        <v>1274</v>
      </c>
      <c r="G492" s="35">
        <v>50</v>
      </c>
      <c r="H492" s="43">
        <v>600</v>
      </c>
      <c r="I492" s="35">
        <v>695</v>
      </c>
      <c r="J492" s="35">
        <v>0</v>
      </c>
      <c r="K492" s="36"/>
      <c r="L492" s="36"/>
      <c r="M492" s="36"/>
      <c r="N492" s="36"/>
      <c r="O492" s="36"/>
      <c r="P492" s="36"/>
      <c r="Q492" s="36"/>
      <c r="R492" s="36"/>
      <c r="S492" s="36"/>
      <c r="T492" s="36"/>
    </row>
    <row r="493" spans="1:20" ht="15.75">
      <c r="A493" s="13">
        <v>56522</v>
      </c>
      <c r="B493" s="44">
        <v>30</v>
      </c>
      <c r="C493" s="35">
        <v>194.20500000000001</v>
      </c>
      <c r="D493" s="35">
        <v>267.46600000000001</v>
      </c>
      <c r="E493" s="41">
        <v>812.32899999999995</v>
      </c>
      <c r="F493" s="35">
        <v>1274</v>
      </c>
      <c r="G493" s="35">
        <v>50</v>
      </c>
      <c r="H493" s="43">
        <v>600</v>
      </c>
      <c r="I493" s="35">
        <v>695</v>
      </c>
      <c r="J493" s="35">
        <v>0</v>
      </c>
      <c r="K493" s="36"/>
      <c r="L493" s="36"/>
      <c r="M493" s="36"/>
      <c r="N493" s="36"/>
      <c r="O493" s="36"/>
      <c r="P493" s="36"/>
      <c r="Q493" s="36"/>
      <c r="R493" s="36"/>
      <c r="S493" s="36"/>
      <c r="T493" s="36"/>
    </row>
    <row r="494" spans="1:20" ht="15.75">
      <c r="A494" s="13">
        <v>56553</v>
      </c>
      <c r="B494" s="44">
        <v>31</v>
      </c>
      <c r="C494" s="35">
        <v>131.881</v>
      </c>
      <c r="D494" s="35">
        <v>277.16699999999997</v>
      </c>
      <c r="E494" s="41">
        <v>829.952</v>
      </c>
      <c r="F494" s="35">
        <v>1239</v>
      </c>
      <c r="G494" s="35">
        <v>75</v>
      </c>
      <c r="H494" s="43">
        <v>600</v>
      </c>
      <c r="I494" s="35">
        <v>695</v>
      </c>
      <c r="J494" s="35">
        <v>0</v>
      </c>
      <c r="K494" s="36"/>
      <c r="L494" s="36"/>
      <c r="M494" s="36"/>
      <c r="N494" s="36"/>
      <c r="O494" s="36"/>
      <c r="P494" s="36"/>
      <c r="Q494" s="36"/>
      <c r="R494" s="36"/>
      <c r="S494" s="36"/>
      <c r="T494" s="36"/>
    </row>
    <row r="495" spans="1:20" ht="15.75">
      <c r="A495" s="13">
        <v>56583</v>
      </c>
      <c r="B495" s="44">
        <v>30</v>
      </c>
      <c r="C495" s="35">
        <v>122.58</v>
      </c>
      <c r="D495" s="35">
        <v>297.94099999999997</v>
      </c>
      <c r="E495" s="41">
        <v>729.47900000000004</v>
      </c>
      <c r="F495" s="35">
        <v>1150</v>
      </c>
      <c r="G495" s="35">
        <v>100</v>
      </c>
      <c r="H495" s="43">
        <v>600</v>
      </c>
      <c r="I495" s="35">
        <v>695</v>
      </c>
      <c r="J495" s="35">
        <v>50</v>
      </c>
      <c r="K495" s="36"/>
      <c r="L495" s="36"/>
      <c r="M495" s="36"/>
      <c r="N495" s="36"/>
      <c r="O495" s="36"/>
      <c r="P495" s="36"/>
      <c r="Q495" s="36"/>
      <c r="R495" s="36"/>
      <c r="S495" s="36"/>
      <c r="T495" s="36"/>
    </row>
    <row r="496" spans="1:20" ht="15.75">
      <c r="A496" s="13">
        <v>56614</v>
      </c>
      <c r="B496" s="44">
        <v>31</v>
      </c>
      <c r="C496" s="35">
        <v>122.58</v>
      </c>
      <c r="D496" s="35">
        <v>297.94099999999997</v>
      </c>
      <c r="E496" s="41">
        <v>729.47900000000004</v>
      </c>
      <c r="F496" s="35">
        <v>1150</v>
      </c>
      <c r="G496" s="35">
        <v>100</v>
      </c>
      <c r="H496" s="43">
        <v>600</v>
      </c>
      <c r="I496" s="35">
        <v>695</v>
      </c>
      <c r="J496" s="35">
        <v>50</v>
      </c>
      <c r="K496" s="36"/>
      <c r="L496" s="36"/>
      <c r="M496" s="36"/>
      <c r="N496" s="36"/>
      <c r="O496" s="36"/>
      <c r="P496" s="36"/>
      <c r="Q496" s="36"/>
      <c r="R496" s="36"/>
      <c r="S496" s="36"/>
      <c r="T496" s="36"/>
    </row>
    <row r="497" spans="1:20" ht="15.75">
      <c r="A497" s="13">
        <v>56645</v>
      </c>
      <c r="B497" s="44">
        <v>31</v>
      </c>
      <c r="C497" s="35">
        <v>122.58</v>
      </c>
      <c r="D497" s="35">
        <v>297.94099999999997</v>
      </c>
      <c r="E497" s="41">
        <v>729.47900000000004</v>
      </c>
      <c r="F497" s="35">
        <v>1150</v>
      </c>
      <c r="G497" s="35">
        <v>100</v>
      </c>
      <c r="H497" s="43">
        <v>600</v>
      </c>
      <c r="I497" s="35">
        <v>695</v>
      </c>
      <c r="J497" s="35">
        <v>50</v>
      </c>
      <c r="K497" s="36"/>
      <c r="L497" s="36"/>
      <c r="M497" s="36"/>
      <c r="N497" s="36"/>
      <c r="O497" s="36"/>
      <c r="P497" s="36"/>
      <c r="Q497" s="36"/>
      <c r="R497" s="36"/>
      <c r="S497" s="36"/>
      <c r="T497" s="36"/>
    </row>
    <row r="498" spans="1:20" ht="15.75">
      <c r="A498" s="13">
        <v>56673</v>
      </c>
      <c r="B498" s="44">
        <v>28</v>
      </c>
      <c r="C498" s="35">
        <v>122.58</v>
      </c>
      <c r="D498" s="35">
        <v>297.94099999999997</v>
      </c>
      <c r="E498" s="41">
        <v>729.47900000000004</v>
      </c>
      <c r="F498" s="35">
        <v>1150</v>
      </c>
      <c r="G498" s="35">
        <v>100</v>
      </c>
      <c r="H498" s="43">
        <v>600</v>
      </c>
      <c r="I498" s="35">
        <v>695</v>
      </c>
      <c r="J498" s="35">
        <v>50</v>
      </c>
      <c r="K498" s="36"/>
      <c r="L498" s="36"/>
      <c r="M498" s="36"/>
      <c r="N498" s="36"/>
      <c r="O498" s="36"/>
      <c r="P498" s="36"/>
      <c r="Q498" s="36"/>
      <c r="R498" s="36"/>
      <c r="S498" s="36"/>
      <c r="T498" s="36"/>
    </row>
    <row r="499" spans="1:20" ht="15.75">
      <c r="A499" s="13">
        <v>56704</v>
      </c>
      <c r="B499" s="44">
        <v>31</v>
      </c>
      <c r="C499" s="35">
        <v>122.58</v>
      </c>
      <c r="D499" s="35">
        <v>297.94099999999997</v>
      </c>
      <c r="E499" s="41">
        <v>729.47900000000004</v>
      </c>
      <c r="F499" s="35">
        <v>1150</v>
      </c>
      <c r="G499" s="35">
        <v>100</v>
      </c>
      <c r="H499" s="43">
        <v>600</v>
      </c>
      <c r="I499" s="35">
        <v>695</v>
      </c>
      <c r="J499" s="35">
        <v>50</v>
      </c>
      <c r="K499" s="36"/>
      <c r="L499" s="36"/>
      <c r="M499" s="36"/>
      <c r="N499" s="36"/>
      <c r="O499" s="36"/>
      <c r="P499" s="36"/>
      <c r="Q499" s="36"/>
      <c r="R499" s="36"/>
      <c r="S499" s="36"/>
      <c r="T499" s="36"/>
    </row>
    <row r="500" spans="1:20" ht="15.75">
      <c r="A500" s="13">
        <v>56734</v>
      </c>
      <c r="B500" s="44">
        <v>30</v>
      </c>
      <c r="C500" s="35">
        <v>141.29300000000001</v>
      </c>
      <c r="D500" s="35">
        <v>267.99299999999999</v>
      </c>
      <c r="E500" s="41">
        <v>829.71400000000006</v>
      </c>
      <c r="F500" s="35">
        <v>1239</v>
      </c>
      <c r="G500" s="35">
        <v>100</v>
      </c>
      <c r="H500" s="43">
        <v>600</v>
      </c>
      <c r="I500" s="35">
        <v>695</v>
      </c>
      <c r="J500" s="35">
        <v>50</v>
      </c>
      <c r="K500" s="36"/>
      <c r="L500" s="36"/>
      <c r="M500" s="36"/>
      <c r="N500" s="36"/>
      <c r="O500" s="36"/>
      <c r="P500" s="36"/>
      <c r="Q500" s="36"/>
      <c r="R500" s="36"/>
      <c r="S500" s="36"/>
      <c r="T500" s="36"/>
    </row>
    <row r="501" spans="1:20" ht="15.75">
      <c r="A501" s="13">
        <v>56765</v>
      </c>
      <c r="B501" s="44">
        <v>31</v>
      </c>
      <c r="C501" s="35">
        <v>194.20500000000001</v>
      </c>
      <c r="D501" s="35">
        <v>267.46600000000001</v>
      </c>
      <c r="E501" s="41">
        <v>812.32899999999995</v>
      </c>
      <c r="F501" s="35">
        <v>1274</v>
      </c>
      <c r="G501" s="35">
        <v>75</v>
      </c>
      <c r="H501" s="43">
        <v>600</v>
      </c>
      <c r="I501" s="35">
        <v>695</v>
      </c>
      <c r="J501" s="35">
        <v>50</v>
      </c>
      <c r="K501" s="36"/>
      <c r="L501" s="36"/>
      <c r="M501" s="36"/>
      <c r="N501" s="36"/>
      <c r="O501" s="36"/>
      <c r="P501" s="36"/>
      <c r="Q501" s="36"/>
      <c r="R501" s="36"/>
      <c r="S501" s="36"/>
      <c r="T501" s="36"/>
    </row>
    <row r="502" spans="1:20" ht="15.75">
      <c r="A502" s="13">
        <v>56795</v>
      </c>
      <c r="B502" s="44">
        <v>30</v>
      </c>
      <c r="C502" s="35">
        <v>194.20500000000001</v>
      </c>
      <c r="D502" s="35">
        <v>267.46600000000001</v>
      </c>
      <c r="E502" s="41">
        <v>812.32899999999995</v>
      </c>
      <c r="F502" s="35">
        <v>1274</v>
      </c>
      <c r="G502" s="35">
        <v>50</v>
      </c>
      <c r="H502" s="43">
        <v>600</v>
      </c>
      <c r="I502" s="35">
        <v>695</v>
      </c>
      <c r="J502" s="35">
        <v>50</v>
      </c>
      <c r="K502" s="36"/>
      <c r="L502" s="36"/>
      <c r="M502" s="36"/>
      <c r="N502" s="36"/>
      <c r="O502" s="36"/>
      <c r="P502" s="36"/>
      <c r="Q502" s="36"/>
      <c r="R502" s="36"/>
      <c r="S502" s="36"/>
      <c r="T502" s="36"/>
    </row>
    <row r="503" spans="1:20" ht="15.75">
      <c r="A503" s="13">
        <v>56826</v>
      </c>
      <c r="B503" s="44">
        <v>31</v>
      </c>
      <c r="C503" s="35">
        <v>194.20500000000001</v>
      </c>
      <c r="D503" s="35">
        <v>267.46600000000001</v>
      </c>
      <c r="E503" s="41">
        <v>812.32899999999995</v>
      </c>
      <c r="F503" s="35">
        <v>1274</v>
      </c>
      <c r="G503" s="35">
        <v>50</v>
      </c>
      <c r="H503" s="43">
        <v>600</v>
      </c>
      <c r="I503" s="35">
        <v>695</v>
      </c>
      <c r="J503" s="35">
        <v>0</v>
      </c>
      <c r="K503" s="36"/>
      <c r="L503" s="36"/>
      <c r="M503" s="36"/>
      <c r="N503" s="36"/>
      <c r="O503" s="36"/>
      <c r="P503" s="36"/>
      <c r="Q503" s="36"/>
      <c r="R503" s="36"/>
      <c r="S503" s="36"/>
      <c r="T503" s="36"/>
    </row>
    <row r="504" spans="1:20" ht="15.75">
      <c r="A504" s="13">
        <v>56857</v>
      </c>
      <c r="B504" s="44">
        <v>31</v>
      </c>
      <c r="C504" s="35">
        <v>194.20500000000001</v>
      </c>
      <c r="D504" s="35">
        <v>267.46600000000001</v>
      </c>
      <c r="E504" s="41">
        <v>812.32899999999995</v>
      </c>
      <c r="F504" s="35">
        <v>1274</v>
      </c>
      <c r="G504" s="35">
        <v>50</v>
      </c>
      <c r="H504" s="43">
        <v>600</v>
      </c>
      <c r="I504" s="35">
        <v>695</v>
      </c>
      <c r="J504" s="35">
        <v>0</v>
      </c>
      <c r="K504" s="36"/>
      <c r="L504" s="36"/>
      <c r="M504" s="36"/>
      <c r="N504" s="36"/>
      <c r="O504" s="36"/>
      <c r="P504" s="36"/>
      <c r="Q504" s="36"/>
      <c r="R504" s="36"/>
      <c r="S504" s="36"/>
      <c r="T504" s="36"/>
    </row>
    <row r="505" spans="1:20" ht="15.75">
      <c r="A505" s="13">
        <v>56887</v>
      </c>
      <c r="B505" s="44">
        <v>30</v>
      </c>
      <c r="C505" s="35">
        <v>194.20500000000001</v>
      </c>
      <c r="D505" s="35">
        <v>267.46600000000001</v>
      </c>
      <c r="E505" s="41">
        <v>812.32899999999995</v>
      </c>
      <c r="F505" s="35">
        <v>1274</v>
      </c>
      <c r="G505" s="35">
        <v>50</v>
      </c>
      <c r="H505" s="43">
        <v>600</v>
      </c>
      <c r="I505" s="35">
        <v>695</v>
      </c>
      <c r="J505" s="35">
        <v>0</v>
      </c>
      <c r="K505" s="36"/>
      <c r="L505" s="36"/>
      <c r="M505" s="36"/>
      <c r="N505" s="36"/>
      <c r="O505" s="36"/>
      <c r="P505" s="36"/>
      <c r="Q505" s="36"/>
      <c r="R505" s="36"/>
      <c r="S505" s="36"/>
      <c r="T505" s="36"/>
    </row>
    <row r="506" spans="1:20" ht="15.75">
      <c r="A506" s="13">
        <v>56918</v>
      </c>
      <c r="B506" s="44">
        <v>31</v>
      </c>
      <c r="C506" s="35">
        <v>131.881</v>
      </c>
      <c r="D506" s="35">
        <v>277.16699999999997</v>
      </c>
      <c r="E506" s="41">
        <v>829.952</v>
      </c>
      <c r="F506" s="35">
        <v>1239</v>
      </c>
      <c r="G506" s="35">
        <v>75</v>
      </c>
      <c r="H506" s="43">
        <v>600</v>
      </c>
      <c r="I506" s="35">
        <v>695</v>
      </c>
      <c r="J506" s="35">
        <v>0</v>
      </c>
      <c r="K506" s="36"/>
      <c r="L506" s="36"/>
      <c r="M506" s="36"/>
      <c r="N506" s="36"/>
      <c r="O506" s="36"/>
      <c r="P506" s="36"/>
      <c r="Q506" s="36"/>
      <c r="R506" s="36"/>
      <c r="S506" s="36"/>
      <c r="T506" s="36"/>
    </row>
    <row r="507" spans="1:20" ht="15.75">
      <c r="A507" s="13">
        <v>56948</v>
      </c>
      <c r="B507" s="44">
        <v>30</v>
      </c>
      <c r="C507" s="35">
        <v>122.58</v>
      </c>
      <c r="D507" s="35">
        <v>297.94099999999997</v>
      </c>
      <c r="E507" s="41">
        <v>729.47900000000004</v>
      </c>
      <c r="F507" s="35">
        <v>1150</v>
      </c>
      <c r="G507" s="35">
        <v>100</v>
      </c>
      <c r="H507" s="43">
        <v>600</v>
      </c>
      <c r="I507" s="35">
        <v>695</v>
      </c>
      <c r="J507" s="35">
        <v>50</v>
      </c>
      <c r="K507" s="36"/>
      <c r="L507" s="36"/>
      <c r="M507" s="36"/>
      <c r="N507" s="36"/>
      <c r="O507" s="36"/>
      <c r="P507" s="36"/>
      <c r="Q507" s="36"/>
      <c r="R507" s="36"/>
      <c r="S507" s="36"/>
      <c r="T507" s="36"/>
    </row>
    <row r="508" spans="1:20" ht="15.75">
      <c r="A508" s="13">
        <v>56979</v>
      </c>
      <c r="B508" s="44">
        <v>31</v>
      </c>
      <c r="C508" s="35">
        <v>122.58</v>
      </c>
      <c r="D508" s="35">
        <v>297.94099999999997</v>
      </c>
      <c r="E508" s="41">
        <v>729.47900000000004</v>
      </c>
      <c r="F508" s="35">
        <v>1150</v>
      </c>
      <c r="G508" s="35">
        <v>100</v>
      </c>
      <c r="H508" s="43">
        <v>600</v>
      </c>
      <c r="I508" s="35">
        <v>695</v>
      </c>
      <c r="J508" s="35">
        <v>50</v>
      </c>
      <c r="K508" s="36"/>
      <c r="L508" s="36"/>
      <c r="M508" s="36"/>
      <c r="N508" s="36"/>
      <c r="O508" s="36"/>
      <c r="P508" s="36"/>
      <c r="Q508" s="36"/>
      <c r="R508" s="36"/>
      <c r="S508" s="36"/>
      <c r="T508" s="36"/>
    </row>
    <row r="509" spans="1:20" ht="15.75">
      <c r="A509" s="13">
        <v>57010</v>
      </c>
      <c r="B509" s="44">
        <v>31</v>
      </c>
      <c r="C509" s="35">
        <v>122.58</v>
      </c>
      <c r="D509" s="35">
        <v>297.94099999999997</v>
      </c>
      <c r="E509" s="41">
        <v>729.47900000000004</v>
      </c>
      <c r="F509" s="35">
        <v>1150</v>
      </c>
      <c r="G509" s="35">
        <v>100</v>
      </c>
      <c r="H509" s="43">
        <v>600</v>
      </c>
      <c r="I509" s="35">
        <v>695</v>
      </c>
      <c r="J509" s="35">
        <v>50</v>
      </c>
      <c r="K509" s="36"/>
      <c r="L509" s="36"/>
      <c r="M509" s="36"/>
      <c r="N509" s="36"/>
      <c r="O509" s="36"/>
      <c r="P509" s="36"/>
      <c r="Q509" s="36"/>
      <c r="R509" s="36"/>
      <c r="S509" s="36"/>
      <c r="T509" s="36"/>
    </row>
    <row r="510" spans="1:20" ht="15.75">
      <c r="A510" s="13">
        <v>57038</v>
      </c>
      <c r="B510" s="44">
        <v>29</v>
      </c>
      <c r="C510" s="35">
        <v>122.58</v>
      </c>
      <c r="D510" s="35">
        <v>297.94099999999997</v>
      </c>
      <c r="E510" s="41">
        <v>729.47900000000004</v>
      </c>
      <c r="F510" s="35">
        <v>1150</v>
      </c>
      <c r="G510" s="35">
        <v>100</v>
      </c>
      <c r="H510" s="43">
        <v>600</v>
      </c>
      <c r="I510" s="35">
        <v>695</v>
      </c>
      <c r="J510" s="35">
        <v>50</v>
      </c>
      <c r="K510" s="36"/>
      <c r="L510" s="36"/>
      <c r="M510" s="36"/>
      <c r="N510" s="36"/>
      <c r="O510" s="36"/>
      <c r="P510" s="36"/>
      <c r="Q510" s="36"/>
      <c r="R510" s="36"/>
      <c r="S510" s="36"/>
      <c r="T510" s="36"/>
    </row>
    <row r="511" spans="1:20" ht="15.75">
      <c r="A511" s="13">
        <v>57070</v>
      </c>
      <c r="B511" s="44">
        <v>31</v>
      </c>
      <c r="C511" s="35">
        <v>122.58</v>
      </c>
      <c r="D511" s="35">
        <v>297.94099999999997</v>
      </c>
      <c r="E511" s="41">
        <v>729.47900000000004</v>
      </c>
      <c r="F511" s="35">
        <v>1150</v>
      </c>
      <c r="G511" s="35">
        <v>100</v>
      </c>
      <c r="H511" s="43">
        <v>600</v>
      </c>
      <c r="I511" s="35">
        <v>695</v>
      </c>
      <c r="J511" s="35">
        <v>50</v>
      </c>
      <c r="K511" s="36"/>
      <c r="L511" s="36"/>
      <c r="M511" s="36"/>
      <c r="N511" s="36"/>
      <c r="O511" s="36"/>
      <c r="P511" s="36"/>
      <c r="Q511" s="36"/>
      <c r="R511" s="36"/>
      <c r="S511" s="36"/>
      <c r="T511" s="36"/>
    </row>
    <row r="512" spans="1:20" ht="15.75">
      <c r="A512" s="13">
        <v>57100</v>
      </c>
      <c r="B512" s="44">
        <v>30</v>
      </c>
      <c r="C512" s="35">
        <v>141.29300000000001</v>
      </c>
      <c r="D512" s="35">
        <v>267.99299999999999</v>
      </c>
      <c r="E512" s="41">
        <v>829.71400000000006</v>
      </c>
      <c r="F512" s="35">
        <v>1239</v>
      </c>
      <c r="G512" s="35">
        <v>100</v>
      </c>
      <c r="H512" s="43">
        <v>600</v>
      </c>
      <c r="I512" s="35">
        <v>695</v>
      </c>
      <c r="J512" s="35">
        <v>50</v>
      </c>
      <c r="K512" s="36"/>
      <c r="L512" s="36"/>
      <c r="M512" s="36"/>
      <c r="N512" s="36"/>
      <c r="O512" s="36"/>
      <c r="P512" s="36"/>
      <c r="Q512" s="36"/>
      <c r="R512" s="36"/>
      <c r="S512" s="36"/>
      <c r="T512" s="36"/>
    </row>
    <row r="513" spans="1:20" ht="15.75">
      <c r="A513" s="13">
        <v>57131</v>
      </c>
      <c r="B513" s="44">
        <v>31</v>
      </c>
      <c r="C513" s="35">
        <v>194.20500000000001</v>
      </c>
      <c r="D513" s="35">
        <v>267.46600000000001</v>
      </c>
      <c r="E513" s="41">
        <v>812.32899999999995</v>
      </c>
      <c r="F513" s="35">
        <v>1274</v>
      </c>
      <c r="G513" s="35">
        <v>75</v>
      </c>
      <c r="H513" s="43">
        <v>600</v>
      </c>
      <c r="I513" s="35">
        <v>695</v>
      </c>
      <c r="J513" s="35">
        <v>50</v>
      </c>
      <c r="K513" s="36"/>
      <c r="L513" s="36"/>
      <c r="M513" s="36"/>
      <c r="N513" s="36"/>
      <c r="O513" s="36"/>
      <c r="P513" s="36"/>
      <c r="Q513" s="36"/>
      <c r="R513" s="36"/>
      <c r="S513" s="36"/>
      <c r="T513" s="36"/>
    </row>
    <row r="514" spans="1:20" ht="15.75">
      <c r="A514" s="13">
        <v>57161</v>
      </c>
      <c r="B514" s="44">
        <v>30</v>
      </c>
      <c r="C514" s="35">
        <v>194.20500000000001</v>
      </c>
      <c r="D514" s="35">
        <v>267.46600000000001</v>
      </c>
      <c r="E514" s="41">
        <v>812.32899999999995</v>
      </c>
      <c r="F514" s="35">
        <v>1274</v>
      </c>
      <c r="G514" s="35">
        <v>50</v>
      </c>
      <c r="H514" s="43">
        <v>600</v>
      </c>
      <c r="I514" s="35">
        <v>695</v>
      </c>
      <c r="J514" s="35">
        <v>50</v>
      </c>
      <c r="K514" s="36"/>
      <c r="L514" s="36"/>
      <c r="M514" s="36"/>
      <c r="N514" s="36"/>
      <c r="O514" s="36"/>
      <c r="P514" s="36"/>
      <c r="Q514" s="36"/>
      <c r="R514" s="36"/>
      <c r="S514" s="36"/>
      <c r="T514" s="36"/>
    </row>
    <row r="515" spans="1:20" ht="15.75">
      <c r="A515" s="13">
        <v>57192</v>
      </c>
      <c r="B515" s="44">
        <v>31</v>
      </c>
      <c r="C515" s="35">
        <v>194.20500000000001</v>
      </c>
      <c r="D515" s="35">
        <v>267.46600000000001</v>
      </c>
      <c r="E515" s="41">
        <v>812.32899999999995</v>
      </c>
      <c r="F515" s="35">
        <v>1274</v>
      </c>
      <c r="G515" s="35">
        <v>50</v>
      </c>
      <c r="H515" s="43">
        <v>600</v>
      </c>
      <c r="I515" s="35">
        <v>695</v>
      </c>
      <c r="J515" s="35">
        <v>0</v>
      </c>
      <c r="K515" s="36"/>
      <c r="L515" s="36"/>
      <c r="M515" s="36"/>
      <c r="N515" s="36"/>
      <c r="O515" s="36"/>
      <c r="P515" s="36"/>
      <c r="Q515" s="36"/>
      <c r="R515" s="36"/>
      <c r="S515" s="36"/>
      <c r="T515" s="36"/>
    </row>
    <row r="516" spans="1:20" ht="15.75">
      <c r="A516" s="13">
        <v>57223</v>
      </c>
      <c r="B516" s="44">
        <v>31</v>
      </c>
      <c r="C516" s="35">
        <v>194.20500000000001</v>
      </c>
      <c r="D516" s="35">
        <v>267.46600000000001</v>
      </c>
      <c r="E516" s="41">
        <v>812.32899999999995</v>
      </c>
      <c r="F516" s="35">
        <v>1274</v>
      </c>
      <c r="G516" s="35">
        <v>50</v>
      </c>
      <c r="H516" s="43">
        <v>600</v>
      </c>
      <c r="I516" s="35">
        <v>695</v>
      </c>
      <c r="J516" s="35">
        <v>0</v>
      </c>
      <c r="K516" s="36"/>
      <c r="L516" s="36"/>
      <c r="M516" s="36"/>
      <c r="N516" s="36"/>
      <c r="O516" s="36"/>
      <c r="P516" s="36"/>
      <c r="Q516" s="36"/>
      <c r="R516" s="36"/>
      <c r="S516" s="36"/>
      <c r="T516" s="36"/>
    </row>
    <row r="517" spans="1:20" ht="15.75">
      <c r="A517" s="13">
        <v>57253</v>
      </c>
      <c r="B517" s="44">
        <v>30</v>
      </c>
      <c r="C517" s="35">
        <v>194.20500000000001</v>
      </c>
      <c r="D517" s="35">
        <v>267.46600000000001</v>
      </c>
      <c r="E517" s="41">
        <v>812.32899999999995</v>
      </c>
      <c r="F517" s="35">
        <v>1274</v>
      </c>
      <c r="G517" s="35">
        <v>50</v>
      </c>
      <c r="H517" s="43">
        <v>600</v>
      </c>
      <c r="I517" s="35">
        <v>695</v>
      </c>
      <c r="J517" s="35">
        <v>0</v>
      </c>
      <c r="K517" s="36"/>
      <c r="L517" s="36"/>
      <c r="M517" s="36"/>
      <c r="N517" s="36"/>
      <c r="O517" s="36"/>
      <c r="P517" s="36"/>
      <c r="Q517" s="36"/>
      <c r="R517" s="36"/>
      <c r="S517" s="36"/>
      <c r="T517" s="36"/>
    </row>
    <row r="518" spans="1:20" ht="15.75">
      <c r="A518" s="13">
        <v>57284</v>
      </c>
      <c r="B518" s="44">
        <v>31</v>
      </c>
      <c r="C518" s="35">
        <v>131.881</v>
      </c>
      <c r="D518" s="35">
        <v>277.16699999999997</v>
      </c>
      <c r="E518" s="41">
        <v>829.952</v>
      </c>
      <c r="F518" s="35">
        <v>1239</v>
      </c>
      <c r="G518" s="35">
        <v>75</v>
      </c>
      <c r="H518" s="43">
        <v>600</v>
      </c>
      <c r="I518" s="35">
        <v>695</v>
      </c>
      <c r="J518" s="35">
        <v>0</v>
      </c>
      <c r="K518" s="36"/>
      <c r="L518" s="36"/>
      <c r="M518" s="36"/>
      <c r="N518" s="36"/>
      <c r="O518" s="36"/>
      <c r="P518" s="36"/>
      <c r="Q518" s="36"/>
      <c r="R518" s="36"/>
      <c r="S518" s="36"/>
      <c r="T518" s="36"/>
    </row>
    <row r="519" spans="1:20" ht="15.75">
      <c r="A519" s="13">
        <v>57314</v>
      </c>
      <c r="B519" s="44">
        <v>30</v>
      </c>
      <c r="C519" s="35">
        <v>122.58</v>
      </c>
      <c r="D519" s="35">
        <v>297.94099999999997</v>
      </c>
      <c r="E519" s="41">
        <v>729.47900000000004</v>
      </c>
      <c r="F519" s="35">
        <v>1150</v>
      </c>
      <c r="G519" s="35">
        <v>100</v>
      </c>
      <c r="H519" s="43">
        <v>600</v>
      </c>
      <c r="I519" s="35">
        <v>695</v>
      </c>
      <c r="J519" s="35">
        <v>50</v>
      </c>
      <c r="K519" s="36"/>
      <c r="L519" s="36"/>
      <c r="M519" s="36"/>
      <c r="N519" s="36"/>
      <c r="O519" s="36"/>
      <c r="P519" s="36"/>
      <c r="Q519" s="36"/>
      <c r="R519" s="36"/>
      <c r="S519" s="36"/>
      <c r="T519" s="36"/>
    </row>
    <row r="520" spans="1:20" ht="15.75">
      <c r="A520" s="13">
        <v>57345</v>
      </c>
      <c r="B520" s="44">
        <v>31</v>
      </c>
      <c r="C520" s="35">
        <v>122.58</v>
      </c>
      <c r="D520" s="35">
        <v>297.94099999999997</v>
      </c>
      <c r="E520" s="41">
        <v>729.47900000000004</v>
      </c>
      <c r="F520" s="35">
        <v>1150</v>
      </c>
      <c r="G520" s="35">
        <v>100</v>
      </c>
      <c r="H520" s="43">
        <v>600</v>
      </c>
      <c r="I520" s="35">
        <v>695</v>
      </c>
      <c r="J520" s="35">
        <v>50</v>
      </c>
      <c r="K520" s="36"/>
      <c r="L520" s="36"/>
      <c r="M520" s="36"/>
      <c r="N520" s="36"/>
      <c r="O520" s="36"/>
      <c r="P520" s="36"/>
      <c r="Q520" s="36"/>
      <c r="R520" s="36"/>
      <c r="S520" s="36"/>
      <c r="T520" s="36"/>
    </row>
    <row r="521" spans="1:20" ht="15.75">
      <c r="A521" s="13">
        <v>57376</v>
      </c>
      <c r="B521" s="44">
        <v>31</v>
      </c>
      <c r="C521" s="35">
        <v>122.58</v>
      </c>
      <c r="D521" s="35">
        <v>297.94099999999997</v>
      </c>
      <c r="E521" s="41">
        <v>729.47900000000004</v>
      </c>
      <c r="F521" s="35">
        <v>1150</v>
      </c>
      <c r="G521" s="35">
        <v>100</v>
      </c>
      <c r="H521" s="43">
        <v>600</v>
      </c>
      <c r="I521" s="35">
        <v>695</v>
      </c>
      <c r="J521" s="35">
        <v>50</v>
      </c>
      <c r="K521" s="36"/>
      <c r="L521" s="36"/>
      <c r="M521" s="36"/>
      <c r="N521" s="36"/>
      <c r="O521" s="36"/>
      <c r="P521" s="36"/>
      <c r="Q521" s="36"/>
      <c r="R521" s="36"/>
      <c r="S521" s="36"/>
      <c r="T521" s="36"/>
    </row>
    <row r="522" spans="1:20" ht="15.75">
      <c r="A522" s="13">
        <v>57404</v>
      </c>
      <c r="B522" s="44">
        <v>28</v>
      </c>
      <c r="C522" s="35">
        <v>122.58</v>
      </c>
      <c r="D522" s="35">
        <v>297.94099999999997</v>
      </c>
      <c r="E522" s="41">
        <v>729.47900000000004</v>
      </c>
      <c r="F522" s="35">
        <v>1150</v>
      </c>
      <c r="G522" s="35">
        <v>100</v>
      </c>
      <c r="H522" s="43">
        <v>600</v>
      </c>
      <c r="I522" s="35">
        <v>695</v>
      </c>
      <c r="J522" s="35">
        <v>50</v>
      </c>
      <c r="K522" s="36"/>
      <c r="L522" s="36"/>
      <c r="M522" s="36"/>
      <c r="N522" s="36"/>
      <c r="O522" s="36"/>
      <c r="P522" s="36"/>
      <c r="Q522" s="36"/>
      <c r="R522" s="36"/>
      <c r="S522" s="36"/>
      <c r="T522" s="36"/>
    </row>
    <row r="523" spans="1:20" ht="15.75">
      <c r="A523" s="13">
        <v>57435</v>
      </c>
      <c r="B523" s="44">
        <v>31</v>
      </c>
      <c r="C523" s="35">
        <v>122.58</v>
      </c>
      <c r="D523" s="35">
        <v>297.94099999999997</v>
      </c>
      <c r="E523" s="41">
        <v>729.47900000000004</v>
      </c>
      <c r="F523" s="35">
        <v>1150</v>
      </c>
      <c r="G523" s="35">
        <v>100</v>
      </c>
      <c r="H523" s="43">
        <v>600</v>
      </c>
      <c r="I523" s="35">
        <v>695</v>
      </c>
      <c r="J523" s="35">
        <v>50</v>
      </c>
      <c r="K523" s="36"/>
      <c r="L523" s="36"/>
      <c r="M523" s="36"/>
      <c r="N523" s="36"/>
      <c r="O523" s="36"/>
      <c r="P523" s="36"/>
      <c r="Q523" s="36"/>
      <c r="R523" s="36"/>
      <c r="S523" s="36"/>
      <c r="T523" s="36"/>
    </row>
    <row r="524" spans="1:20" ht="15.75">
      <c r="A524" s="13">
        <v>57465</v>
      </c>
      <c r="B524" s="44">
        <v>30</v>
      </c>
      <c r="C524" s="35">
        <v>141.29300000000001</v>
      </c>
      <c r="D524" s="35">
        <v>267.99299999999999</v>
      </c>
      <c r="E524" s="41">
        <v>829.71400000000006</v>
      </c>
      <c r="F524" s="35">
        <v>1239</v>
      </c>
      <c r="G524" s="35">
        <v>100</v>
      </c>
      <c r="H524" s="43">
        <v>600</v>
      </c>
      <c r="I524" s="35">
        <v>695</v>
      </c>
      <c r="J524" s="35">
        <v>50</v>
      </c>
      <c r="K524" s="36"/>
      <c r="L524" s="36"/>
      <c r="M524" s="36"/>
      <c r="N524" s="36"/>
      <c r="O524" s="36"/>
      <c r="P524" s="36"/>
      <c r="Q524" s="36"/>
      <c r="R524" s="36"/>
      <c r="S524" s="36"/>
      <c r="T524" s="36"/>
    </row>
    <row r="525" spans="1:20" ht="15.75">
      <c r="A525" s="13">
        <v>57496</v>
      </c>
      <c r="B525" s="44">
        <v>31</v>
      </c>
      <c r="C525" s="35">
        <v>194.20500000000001</v>
      </c>
      <c r="D525" s="35">
        <v>267.46600000000001</v>
      </c>
      <c r="E525" s="41">
        <v>812.32899999999995</v>
      </c>
      <c r="F525" s="35">
        <v>1274</v>
      </c>
      <c r="G525" s="35">
        <v>75</v>
      </c>
      <c r="H525" s="43">
        <v>600</v>
      </c>
      <c r="I525" s="35">
        <v>695</v>
      </c>
      <c r="J525" s="35">
        <v>50</v>
      </c>
      <c r="K525" s="36"/>
      <c r="L525" s="36"/>
      <c r="M525" s="36"/>
      <c r="N525" s="36"/>
      <c r="O525" s="36"/>
      <c r="P525" s="36"/>
      <c r="Q525" s="36"/>
      <c r="R525" s="36"/>
      <c r="S525" s="36"/>
      <c r="T525" s="36"/>
    </row>
    <row r="526" spans="1:20" ht="15.75">
      <c r="A526" s="13">
        <v>57526</v>
      </c>
      <c r="B526" s="44">
        <v>30</v>
      </c>
      <c r="C526" s="35">
        <v>194.20500000000001</v>
      </c>
      <c r="D526" s="35">
        <v>267.46600000000001</v>
      </c>
      <c r="E526" s="41">
        <v>812.32899999999995</v>
      </c>
      <c r="F526" s="35">
        <v>1274</v>
      </c>
      <c r="G526" s="35">
        <v>50</v>
      </c>
      <c r="H526" s="43">
        <v>600</v>
      </c>
      <c r="I526" s="35">
        <v>695</v>
      </c>
      <c r="J526" s="35">
        <v>50</v>
      </c>
      <c r="K526" s="36"/>
      <c r="L526" s="36"/>
      <c r="M526" s="36"/>
      <c r="N526" s="36"/>
      <c r="O526" s="36"/>
      <c r="P526" s="36"/>
      <c r="Q526" s="36"/>
      <c r="R526" s="36"/>
      <c r="S526" s="36"/>
      <c r="T526" s="36"/>
    </row>
    <row r="527" spans="1:20" ht="15.75">
      <c r="A527" s="13">
        <v>57557</v>
      </c>
      <c r="B527" s="44">
        <v>31</v>
      </c>
      <c r="C527" s="35">
        <v>194.20500000000001</v>
      </c>
      <c r="D527" s="35">
        <v>267.46600000000001</v>
      </c>
      <c r="E527" s="41">
        <v>812.32899999999995</v>
      </c>
      <c r="F527" s="35">
        <v>1274</v>
      </c>
      <c r="G527" s="35">
        <v>50</v>
      </c>
      <c r="H527" s="43">
        <v>600</v>
      </c>
      <c r="I527" s="35">
        <v>695</v>
      </c>
      <c r="J527" s="35">
        <v>0</v>
      </c>
      <c r="K527" s="36"/>
      <c r="L527" s="36"/>
      <c r="M527" s="36"/>
      <c r="N527" s="36"/>
      <c r="O527" s="36"/>
      <c r="P527" s="36"/>
      <c r="Q527" s="36"/>
      <c r="R527" s="36"/>
      <c r="S527" s="36"/>
      <c r="T527" s="36"/>
    </row>
    <row r="528" spans="1:20" ht="15.75">
      <c r="A528" s="13">
        <v>57588</v>
      </c>
      <c r="B528" s="44">
        <v>31</v>
      </c>
      <c r="C528" s="35">
        <v>194.20500000000001</v>
      </c>
      <c r="D528" s="35">
        <v>267.46600000000001</v>
      </c>
      <c r="E528" s="41">
        <v>812.32899999999995</v>
      </c>
      <c r="F528" s="35">
        <v>1274</v>
      </c>
      <c r="G528" s="35">
        <v>50</v>
      </c>
      <c r="H528" s="43">
        <v>600</v>
      </c>
      <c r="I528" s="35">
        <v>695</v>
      </c>
      <c r="J528" s="35">
        <v>0</v>
      </c>
      <c r="K528" s="36"/>
      <c r="L528" s="36"/>
      <c r="M528" s="36"/>
      <c r="N528" s="36"/>
      <c r="O528" s="36"/>
      <c r="P528" s="36"/>
      <c r="Q528" s="36"/>
      <c r="R528" s="36"/>
      <c r="S528" s="36"/>
      <c r="T528" s="36"/>
    </row>
    <row r="529" spans="1:20" ht="15.75">
      <c r="A529" s="13">
        <v>57618</v>
      </c>
      <c r="B529" s="44">
        <v>30</v>
      </c>
      <c r="C529" s="35">
        <v>194.20500000000001</v>
      </c>
      <c r="D529" s="35">
        <v>267.46600000000001</v>
      </c>
      <c r="E529" s="41">
        <v>812.32899999999995</v>
      </c>
      <c r="F529" s="35">
        <v>1274</v>
      </c>
      <c r="G529" s="35">
        <v>50</v>
      </c>
      <c r="H529" s="43">
        <v>600</v>
      </c>
      <c r="I529" s="35">
        <v>695</v>
      </c>
      <c r="J529" s="35">
        <v>0</v>
      </c>
      <c r="K529" s="36"/>
      <c r="L529" s="36"/>
      <c r="M529" s="36"/>
      <c r="N529" s="36"/>
      <c r="O529" s="36"/>
      <c r="P529" s="36"/>
      <c r="Q529" s="36"/>
      <c r="R529" s="36"/>
      <c r="S529" s="36"/>
      <c r="T529" s="36"/>
    </row>
    <row r="530" spans="1:20" ht="15.75">
      <c r="A530" s="13">
        <v>57649</v>
      </c>
      <c r="B530" s="44">
        <v>31</v>
      </c>
      <c r="C530" s="35">
        <v>131.881</v>
      </c>
      <c r="D530" s="35">
        <v>277.16699999999997</v>
      </c>
      <c r="E530" s="41">
        <v>829.952</v>
      </c>
      <c r="F530" s="35">
        <v>1239</v>
      </c>
      <c r="G530" s="35">
        <v>75</v>
      </c>
      <c r="H530" s="43">
        <v>600</v>
      </c>
      <c r="I530" s="35">
        <v>695</v>
      </c>
      <c r="J530" s="35">
        <v>0</v>
      </c>
      <c r="K530" s="36"/>
      <c r="L530" s="36"/>
      <c r="M530" s="36"/>
      <c r="N530" s="36"/>
      <c r="O530" s="36"/>
      <c r="P530" s="36"/>
      <c r="Q530" s="36"/>
      <c r="R530" s="36"/>
      <c r="S530" s="36"/>
      <c r="T530" s="36"/>
    </row>
    <row r="531" spans="1:20" ht="15.75">
      <c r="A531" s="13">
        <v>57679</v>
      </c>
      <c r="B531" s="44">
        <v>30</v>
      </c>
      <c r="C531" s="35">
        <v>122.58</v>
      </c>
      <c r="D531" s="35">
        <v>297.94099999999997</v>
      </c>
      <c r="E531" s="41">
        <v>729.47900000000004</v>
      </c>
      <c r="F531" s="35">
        <v>1150</v>
      </c>
      <c r="G531" s="35">
        <v>100</v>
      </c>
      <c r="H531" s="43">
        <v>600</v>
      </c>
      <c r="I531" s="35">
        <v>695</v>
      </c>
      <c r="J531" s="35">
        <v>50</v>
      </c>
      <c r="K531" s="36"/>
      <c r="L531" s="36"/>
      <c r="M531" s="36"/>
      <c r="N531" s="36"/>
      <c r="O531" s="36"/>
      <c r="P531" s="36"/>
      <c r="Q531" s="36"/>
      <c r="R531" s="36"/>
      <c r="S531" s="36"/>
      <c r="T531" s="36"/>
    </row>
    <row r="532" spans="1:20" ht="15.75">
      <c r="A532" s="13">
        <v>57710</v>
      </c>
      <c r="B532" s="44">
        <v>31</v>
      </c>
      <c r="C532" s="35">
        <v>122.58</v>
      </c>
      <c r="D532" s="35">
        <v>297.94099999999997</v>
      </c>
      <c r="E532" s="41">
        <v>729.47900000000004</v>
      </c>
      <c r="F532" s="35">
        <v>1150</v>
      </c>
      <c r="G532" s="35">
        <v>100</v>
      </c>
      <c r="H532" s="43">
        <v>600</v>
      </c>
      <c r="I532" s="35">
        <v>695</v>
      </c>
      <c r="J532" s="35">
        <v>50</v>
      </c>
      <c r="K532" s="36"/>
      <c r="L532" s="36"/>
      <c r="M532" s="36"/>
      <c r="N532" s="36"/>
      <c r="O532" s="36"/>
      <c r="P532" s="36"/>
      <c r="Q532" s="36"/>
      <c r="R532" s="36"/>
      <c r="S532" s="36"/>
      <c r="T532" s="36"/>
    </row>
    <row r="533" spans="1:20" ht="15.75">
      <c r="A533" s="13">
        <v>57741</v>
      </c>
      <c r="B533" s="44">
        <v>31</v>
      </c>
      <c r="C533" s="35">
        <v>122.58</v>
      </c>
      <c r="D533" s="35">
        <v>297.94099999999997</v>
      </c>
      <c r="E533" s="41">
        <v>729.47900000000004</v>
      </c>
      <c r="F533" s="35">
        <v>1150</v>
      </c>
      <c r="G533" s="35">
        <v>100</v>
      </c>
      <c r="H533" s="43">
        <v>600</v>
      </c>
      <c r="I533" s="35">
        <v>695</v>
      </c>
      <c r="J533" s="35">
        <v>50</v>
      </c>
      <c r="K533" s="36"/>
      <c r="L533" s="36"/>
      <c r="M533" s="36"/>
      <c r="N533" s="36"/>
      <c r="O533" s="36"/>
      <c r="P533" s="36"/>
      <c r="Q533" s="36"/>
      <c r="R533" s="36"/>
      <c r="S533" s="36"/>
      <c r="T533" s="36"/>
    </row>
    <row r="534" spans="1:20" ht="15.75">
      <c r="A534" s="13">
        <v>57769</v>
      </c>
      <c r="B534" s="44">
        <v>28</v>
      </c>
      <c r="C534" s="35">
        <v>122.58</v>
      </c>
      <c r="D534" s="35">
        <v>297.94099999999997</v>
      </c>
      <c r="E534" s="41">
        <v>729.47900000000004</v>
      </c>
      <c r="F534" s="35">
        <v>1150</v>
      </c>
      <c r="G534" s="35">
        <v>100</v>
      </c>
      <c r="H534" s="43">
        <v>600</v>
      </c>
      <c r="I534" s="35">
        <v>695</v>
      </c>
      <c r="J534" s="35">
        <v>50</v>
      </c>
      <c r="K534" s="36"/>
      <c r="L534" s="36"/>
      <c r="M534" s="36"/>
      <c r="N534" s="36"/>
      <c r="O534" s="36"/>
      <c r="P534" s="36"/>
      <c r="Q534" s="36"/>
      <c r="R534" s="36"/>
      <c r="S534" s="36"/>
      <c r="T534" s="36"/>
    </row>
    <row r="535" spans="1:20" ht="15.75">
      <c r="A535" s="13">
        <v>57800</v>
      </c>
      <c r="B535" s="44">
        <v>31</v>
      </c>
      <c r="C535" s="35">
        <v>122.58</v>
      </c>
      <c r="D535" s="35">
        <v>297.94099999999997</v>
      </c>
      <c r="E535" s="41">
        <v>729.47900000000004</v>
      </c>
      <c r="F535" s="35">
        <v>1150</v>
      </c>
      <c r="G535" s="35">
        <v>100</v>
      </c>
      <c r="H535" s="43">
        <v>600</v>
      </c>
      <c r="I535" s="35">
        <v>695</v>
      </c>
      <c r="J535" s="35">
        <v>50</v>
      </c>
      <c r="K535" s="36"/>
      <c r="L535" s="36"/>
      <c r="M535" s="36"/>
      <c r="N535" s="36"/>
      <c r="O535" s="36"/>
      <c r="P535" s="36"/>
      <c r="Q535" s="36"/>
      <c r="R535" s="36"/>
      <c r="S535" s="36"/>
      <c r="T535" s="36"/>
    </row>
    <row r="536" spans="1:20" ht="15.75">
      <c r="A536" s="13">
        <v>57830</v>
      </c>
      <c r="B536" s="44">
        <v>30</v>
      </c>
      <c r="C536" s="35">
        <v>141.29300000000001</v>
      </c>
      <c r="D536" s="35">
        <v>267.99299999999999</v>
      </c>
      <c r="E536" s="41">
        <v>829.71400000000006</v>
      </c>
      <c r="F536" s="35">
        <v>1239</v>
      </c>
      <c r="G536" s="35">
        <v>100</v>
      </c>
      <c r="H536" s="43">
        <v>600</v>
      </c>
      <c r="I536" s="35">
        <v>695</v>
      </c>
      <c r="J536" s="35">
        <v>50</v>
      </c>
      <c r="K536" s="36"/>
      <c r="L536" s="36"/>
      <c r="M536" s="36"/>
      <c r="N536" s="36"/>
      <c r="O536" s="36"/>
      <c r="P536" s="36"/>
      <c r="Q536" s="36"/>
      <c r="R536" s="36"/>
      <c r="S536" s="36"/>
      <c r="T536" s="36"/>
    </row>
    <row r="537" spans="1:20" ht="15.75">
      <c r="A537" s="13">
        <v>57861</v>
      </c>
      <c r="B537" s="44">
        <v>31</v>
      </c>
      <c r="C537" s="35">
        <v>194.20500000000001</v>
      </c>
      <c r="D537" s="35">
        <v>267.46600000000001</v>
      </c>
      <c r="E537" s="41">
        <v>812.32899999999995</v>
      </c>
      <c r="F537" s="35">
        <v>1274</v>
      </c>
      <c r="G537" s="35">
        <v>75</v>
      </c>
      <c r="H537" s="43">
        <v>600</v>
      </c>
      <c r="I537" s="35">
        <v>695</v>
      </c>
      <c r="J537" s="35">
        <v>50</v>
      </c>
      <c r="K537" s="36"/>
      <c r="L537" s="36"/>
      <c r="M537" s="36"/>
      <c r="N537" s="36"/>
      <c r="O537" s="36"/>
      <c r="P537" s="36"/>
      <c r="Q537" s="36"/>
      <c r="R537" s="36"/>
      <c r="S537" s="36"/>
      <c r="T537" s="36"/>
    </row>
    <row r="538" spans="1:20" ht="15.75">
      <c r="A538" s="13">
        <v>57891</v>
      </c>
      <c r="B538" s="44">
        <v>30</v>
      </c>
      <c r="C538" s="35">
        <v>194.20500000000001</v>
      </c>
      <c r="D538" s="35">
        <v>267.46600000000001</v>
      </c>
      <c r="E538" s="41">
        <v>812.32899999999995</v>
      </c>
      <c r="F538" s="35">
        <v>1274</v>
      </c>
      <c r="G538" s="35">
        <v>50</v>
      </c>
      <c r="H538" s="43">
        <v>600</v>
      </c>
      <c r="I538" s="35">
        <v>695</v>
      </c>
      <c r="J538" s="35">
        <v>50</v>
      </c>
      <c r="K538" s="36"/>
      <c r="L538" s="36"/>
      <c r="M538" s="36"/>
      <c r="N538" s="36"/>
      <c r="O538" s="36"/>
      <c r="P538" s="36"/>
      <c r="Q538" s="36"/>
      <c r="R538" s="36"/>
      <c r="S538" s="36"/>
      <c r="T538" s="36"/>
    </row>
    <row r="539" spans="1:20" ht="15.75">
      <c r="A539" s="13">
        <v>57922</v>
      </c>
      <c r="B539" s="44">
        <v>31</v>
      </c>
      <c r="C539" s="35">
        <v>194.20500000000001</v>
      </c>
      <c r="D539" s="35">
        <v>267.46600000000001</v>
      </c>
      <c r="E539" s="41">
        <v>812.32899999999995</v>
      </c>
      <c r="F539" s="35">
        <v>1274</v>
      </c>
      <c r="G539" s="35">
        <v>50</v>
      </c>
      <c r="H539" s="43">
        <v>600</v>
      </c>
      <c r="I539" s="35">
        <v>695</v>
      </c>
      <c r="J539" s="35">
        <v>0</v>
      </c>
      <c r="K539" s="36"/>
      <c r="L539" s="36"/>
      <c r="M539" s="36"/>
      <c r="N539" s="36"/>
      <c r="O539" s="36"/>
      <c r="P539" s="36"/>
      <c r="Q539" s="36"/>
      <c r="R539" s="36"/>
      <c r="S539" s="36"/>
      <c r="T539" s="36"/>
    </row>
    <row r="540" spans="1:20" ht="15.75">
      <c r="A540" s="13">
        <v>57953</v>
      </c>
      <c r="B540" s="44">
        <v>31</v>
      </c>
      <c r="C540" s="35">
        <v>194.20500000000001</v>
      </c>
      <c r="D540" s="35">
        <v>267.46600000000001</v>
      </c>
      <c r="E540" s="41">
        <v>812.32899999999995</v>
      </c>
      <c r="F540" s="35">
        <v>1274</v>
      </c>
      <c r="G540" s="35">
        <v>50</v>
      </c>
      <c r="H540" s="43">
        <v>600</v>
      </c>
      <c r="I540" s="35">
        <v>695</v>
      </c>
      <c r="J540" s="35">
        <v>0</v>
      </c>
      <c r="K540" s="36"/>
      <c r="L540" s="36"/>
      <c r="M540" s="36"/>
      <c r="N540" s="36"/>
      <c r="O540" s="36"/>
      <c r="P540" s="36"/>
      <c r="Q540" s="36"/>
      <c r="R540" s="36"/>
      <c r="S540" s="36"/>
      <c r="T540" s="36"/>
    </row>
    <row r="541" spans="1:20" ht="15.75">
      <c r="A541" s="13">
        <v>57983</v>
      </c>
      <c r="B541" s="44">
        <v>30</v>
      </c>
      <c r="C541" s="35">
        <v>194.20500000000001</v>
      </c>
      <c r="D541" s="35">
        <v>267.46600000000001</v>
      </c>
      <c r="E541" s="41">
        <v>812.32899999999995</v>
      </c>
      <c r="F541" s="35">
        <v>1274</v>
      </c>
      <c r="G541" s="35">
        <v>50</v>
      </c>
      <c r="H541" s="43">
        <v>600</v>
      </c>
      <c r="I541" s="35">
        <v>695</v>
      </c>
      <c r="J541" s="35">
        <v>0</v>
      </c>
      <c r="K541" s="36"/>
      <c r="L541" s="36"/>
      <c r="M541" s="36"/>
      <c r="N541" s="36"/>
      <c r="O541" s="36"/>
      <c r="P541" s="36"/>
      <c r="Q541" s="36"/>
      <c r="R541" s="36"/>
      <c r="S541" s="36"/>
      <c r="T541" s="36"/>
    </row>
    <row r="542" spans="1:20" ht="15.75">
      <c r="A542" s="13">
        <v>58014</v>
      </c>
      <c r="B542" s="44">
        <v>31</v>
      </c>
      <c r="C542" s="35">
        <v>131.881</v>
      </c>
      <c r="D542" s="35">
        <v>277.16699999999997</v>
      </c>
      <c r="E542" s="41">
        <v>829.952</v>
      </c>
      <c r="F542" s="35">
        <v>1239</v>
      </c>
      <c r="G542" s="35">
        <v>75</v>
      </c>
      <c r="H542" s="43">
        <v>600</v>
      </c>
      <c r="I542" s="35">
        <v>695</v>
      </c>
      <c r="J542" s="35">
        <v>0</v>
      </c>
      <c r="K542" s="36"/>
      <c r="L542" s="36"/>
      <c r="M542" s="36"/>
      <c r="N542" s="36"/>
      <c r="O542" s="36"/>
      <c r="P542" s="36"/>
      <c r="Q542" s="36"/>
      <c r="R542" s="36"/>
      <c r="S542" s="36"/>
      <c r="T542" s="36"/>
    </row>
    <row r="543" spans="1:20" ht="15.75">
      <c r="A543" s="13">
        <v>58044</v>
      </c>
      <c r="B543" s="44">
        <v>30</v>
      </c>
      <c r="C543" s="35">
        <v>122.58</v>
      </c>
      <c r="D543" s="35">
        <v>297.94099999999997</v>
      </c>
      <c r="E543" s="41">
        <v>729.47900000000004</v>
      </c>
      <c r="F543" s="35">
        <v>1150</v>
      </c>
      <c r="G543" s="35">
        <v>100</v>
      </c>
      <c r="H543" s="43">
        <v>600</v>
      </c>
      <c r="I543" s="35">
        <v>695</v>
      </c>
      <c r="J543" s="35">
        <v>50</v>
      </c>
      <c r="K543" s="36"/>
      <c r="L543" s="36"/>
      <c r="M543" s="36"/>
      <c r="N543" s="36"/>
      <c r="O543" s="36"/>
      <c r="P543" s="36"/>
      <c r="Q543" s="36"/>
      <c r="R543" s="36"/>
      <c r="S543" s="36"/>
      <c r="T543" s="36"/>
    </row>
    <row r="544" spans="1:20" ht="15.75">
      <c r="A544" s="13">
        <v>58075</v>
      </c>
      <c r="B544" s="44">
        <v>31</v>
      </c>
      <c r="C544" s="35">
        <v>122.58</v>
      </c>
      <c r="D544" s="35">
        <v>297.94099999999997</v>
      </c>
      <c r="E544" s="41">
        <v>729.47900000000004</v>
      </c>
      <c r="F544" s="35">
        <v>1150</v>
      </c>
      <c r="G544" s="35">
        <v>100</v>
      </c>
      <c r="H544" s="43">
        <v>600</v>
      </c>
      <c r="I544" s="35">
        <v>695</v>
      </c>
      <c r="J544" s="35">
        <v>50</v>
      </c>
      <c r="K544" s="36"/>
      <c r="L544" s="36"/>
      <c r="M544" s="36"/>
      <c r="N544" s="36"/>
      <c r="O544" s="36"/>
      <c r="P544" s="36"/>
      <c r="Q544" s="36"/>
      <c r="R544" s="36"/>
      <c r="S544" s="36"/>
      <c r="T544" s="36"/>
    </row>
    <row r="545" spans="1:20" ht="15.75">
      <c r="A545" s="13">
        <v>58106</v>
      </c>
      <c r="B545" s="44">
        <v>31</v>
      </c>
      <c r="C545" s="35">
        <v>122.58</v>
      </c>
      <c r="D545" s="35">
        <v>297.94099999999997</v>
      </c>
      <c r="E545" s="41">
        <v>729.47900000000004</v>
      </c>
      <c r="F545" s="35">
        <v>1150</v>
      </c>
      <c r="G545" s="35">
        <v>100</v>
      </c>
      <c r="H545" s="43">
        <v>600</v>
      </c>
      <c r="I545" s="35">
        <v>695</v>
      </c>
      <c r="J545" s="35">
        <v>50</v>
      </c>
      <c r="K545" s="36"/>
      <c r="L545" s="36"/>
      <c r="M545" s="36"/>
      <c r="N545" s="36"/>
      <c r="O545" s="36"/>
      <c r="P545" s="36"/>
      <c r="Q545" s="36"/>
      <c r="R545" s="36"/>
      <c r="S545" s="36"/>
      <c r="T545" s="36"/>
    </row>
    <row r="546" spans="1:20" ht="15.75">
      <c r="A546" s="13">
        <v>58134</v>
      </c>
      <c r="B546" s="44">
        <v>28</v>
      </c>
      <c r="C546" s="35">
        <v>122.58</v>
      </c>
      <c r="D546" s="35">
        <v>297.94099999999997</v>
      </c>
      <c r="E546" s="41">
        <v>729.47900000000004</v>
      </c>
      <c r="F546" s="35">
        <v>1150</v>
      </c>
      <c r="G546" s="35">
        <v>100</v>
      </c>
      <c r="H546" s="43">
        <v>600</v>
      </c>
      <c r="I546" s="35">
        <v>695</v>
      </c>
      <c r="J546" s="35">
        <v>50</v>
      </c>
      <c r="K546" s="36"/>
      <c r="L546" s="36"/>
      <c r="M546" s="36"/>
      <c r="N546" s="36"/>
      <c r="O546" s="36"/>
      <c r="P546" s="36"/>
      <c r="Q546" s="36"/>
      <c r="R546" s="36"/>
      <c r="S546" s="36"/>
      <c r="T546" s="36"/>
    </row>
    <row r="547" spans="1:20" ht="15.75">
      <c r="A547" s="13">
        <v>58165</v>
      </c>
      <c r="B547" s="44">
        <v>31</v>
      </c>
      <c r="C547" s="35">
        <v>122.58</v>
      </c>
      <c r="D547" s="35">
        <v>297.94099999999997</v>
      </c>
      <c r="E547" s="41">
        <v>729.47900000000004</v>
      </c>
      <c r="F547" s="35">
        <v>1150</v>
      </c>
      <c r="G547" s="35">
        <v>100</v>
      </c>
      <c r="H547" s="43">
        <v>600</v>
      </c>
      <c r="I547" s="35">
        <v>695</v>
      </c>
      <c r="J547" s="35">
        <v>50</v>
      </c>
      <c r="K547" s="36"/>
      <c r="L547" s="36"/>
      <c r="M547" s="36"/>
      <c r="N547" s="36"/>
      <c r="O547" s="36"/>
      <c r="P547" s="36"/>
      <c r="Q547" s="36"/>
      <c r="R547" s="36"/>
      <c r="S547" s="36"/>
      <c r="T547" s="36"/>
    </row>
    <row r="548" spans="1:20" ht="15.75">
      <c r="A548" s="13">
        <v>58195</v>
      </c>
      <c r="B548" s="44">
        <v>30</v>
      </c>
      <c r="C548" s="35">
        <v>141.29300000000001</v>
      </c>
      <c r="D548" s="35">
        <v>267.99299999999999</v>
      </c>
      <c r="E548" s="41">
        <v>829.71400000000006</v>
      </c>
      <c r="F548" s="35">
        <v>1239</v>
      </c>
      <c r="G548" s="35">
        <v>100</v>
      </c>
      <c r="H548" s="43">
        <v>600</v>
      </c>
      <c r="I548" s="35">
        <v>695</v>
      </c>
      <c r="J548" s="35">
        <v>50</v>
      </c>
      <c r="K548" s="36"/>
      <c r="L548" s="36"/>
      <c r="M548" s="36"/>
      <c r="N548" s="36"/>
      <c r="O548" s="36"/>
      <c r="P548" s="36"/>
      <c r="Q548" s="36"/>
      <c r="R548" s="36"/>
      <c r="S548" s="36"/>
      <c r="T548" s="36"/>
    </row>
    <row r="549" spans="1:20" ht="15.75">
      <c r="A549" s="13">
        <v>58226</v>
      </c>
      <c r="B549" s="44">
        <v>31</v>
      </c>
      <c r="C549" s="35">
        <v>194.20500000000001</v>
      </c>
      <c r="D549" s="35">
        <v>267.46600000000001</v>
      </c>
      <c r="E549" s="41">
        <v>812.32899999999995</v>
      </c>
      <c r="F549" s="35">
        <v>1274</v>
      </c>
      <c r="G549" s="35">
        <v>75</v>
      </c>
      <c r="H549" s="43">
        <v>600</v>
      </c>
      <c r="I549" s="35">
        <v>695</v>
      </c>
      <c r="J549" s="35">
        <v>50</v>
      </c>
      <c r="K549" s="36"/>
      <c r="L549" s="36"/>
      <c r="M549" s="36"/>
      <c r="N549" s="36"/>
      <c r="O549" s="36"/>
      <c r="P549" s="36"/>
      <c r="Q549" s="36"/>
      <c r="R549" s="36"/>
      <c r="S549" s="36"/>
      <c r="T549" s="36"/>
    </row>
    <row r="550" spans="1:20" ht="15.75">
      <c r="A550" s="13">
        <v>58256</v>
      </c>
      <c r="B550" s="44">
        <v>30</v>
      </c>
      <c r="C550" s="35">
        <v>194.20500000000001</v>
      </c>
      <c r="D550" s="35">
        <v>267.46600000000001</v>
      </c>
      <c r="E550" s="41">
        <v>812.32899999999995</v>
      </c>
      <c r="F550" s="35">
        <v>1274</v>
      </c>
      <c r="G550" s="35">
        <v>50</v>
      </c>
      <c r="H550" s="43">
        <v>600</v>
      </c>
      <c r="I550" s="35">
        <v>695</v>
      </c>
      <c r="J550" s="35">
        <v>50</v>
      </c>
      <c r="K550" s="36"/>
      <c r="L550" s="36"/>
      <c r="M550" s="36"/>
      <c r="N550" s="36"/>
      <c r="O550" s="36"/>
      <c r="P550" s="36"/>
      <c r="Q550" s="36"/>
      <c r="R550" s="36"/>
      <c r="S550" s="36"/>
      <c r="T550" s="36"/>
    </row>
    <row r="551" spans="1:20" ht="15.75">
      <c r="A551" s="13">
        <v>58287</v>
      </c>
      <c r="B551" s="44">
        <v>31</v>
      </c>
      <c r="C551" s="35">
        <v>194.20500000000001</v>
      </c>
      <c r="D551" s="35">
        <v>267.46600000000001</v>
      </c>
      <c r="E551" s="41">
        <v>812.32899999999995</v>
      </c>
      <c r="F551" s="35">
        <v>1274</v>
      </c>
      <c r="G551" s="35">
        <v>50</v>
      </c>
      <c r="H551" s="43">
        <v>600</v>
      </c>
      <c r="I551" s="35">
        <v>695</v>
      </c>
      <c r="J551" s="35">
        <v>0</v>
      </c>
      <c r="K551" s="36"/>
      <c r="L551" s="36"/>
      <c r="M551" s="36"/>
      <c r="N551" s="36"/>
      <c r="O551" s="36"/>
      <c r="P551" s="36"/>
      <c r="Q551" s="36"/>
      <c r="R551" s="36"/>
      <c r="S551" s="36"/>
      <c r="T551" s="36"/>
    </row>
    <row r="552" spans="1:20" ht="15.75">
      <c r="A552" s="13">
        <v>58318</v>
      </c>
      <c r="B552" s="44">
        <v>31</v>
      </c>
      <c r="C552" s="35">
        <v>194.20500000000001</v>
      </c>
      <c r="D552" s="35">
        <v>267.46600000000001</v>
      </c>
      <c r="E552" s="41">
        <v>812.32899999999995</v>
      </c>
      <c r="F552" s="35">
        <v>1274</v>
      </c>
      <c r="G552" s="35">
        <v>50</v>
      </c>
      <c r="H552" s="43">
        <v>600</v>
      </c>
      <c r="I552" s="35">
        <v>695</v>
      </c>
      <c r="J552" s="35">
        <v>0</v>
      </c>
      <c r="K552" s="36"/>
      <c r="L552" s="36"/>
      <c r="M552" s="36"/>
      <c r="N552" s="36"/>
      <c r="O552" s="36"/>
      <c r="P552" s="36"/>
      <c r="Q552" s="36"/>
      <c r="R552" s="36"/>
      <c r="S552" s="36"/>
      <c r="T552" s="36"/>
    </row>
    <row r="553" spans="1:20" ht="15.75">
      <c r="A553" s="13">
        <v>58348</v>
      </c>
      <c r="B553" s="44">
        <v>30</v>
      </c>
      <c r="C553" s="35">
        <v>194.20500000000001</v>
      </c>
      <c r="D553" s="35">
        <v>267.46600000000001</v>
      </c>
      <c r="E553" s="41">
        <v>812.32899999999995</v>
      </c>
      <c r="F553" s="35">
        <v>1274</v>
      </c>
      <c r="G553" s="35">
        <v>50</v>
      </c>
      <c r="H553" s="43">
        <v>600</v>
      </c>
      <c r="I553" s="35">
        <v>695</v>
      </c>
      <c r="J553" s="35">
        <v>0</v>
      </c>
      <c r="K553" s="36"/>
      <c r="L553" s="36"/>
      <c r="M553" s="36"/>
      <c r="N553" s="36"/>
      <c r="O553" s="36"/>
      <c r="P553" s="36"/>
      <c r="Q553" s="36"/>
      <c r="R553" s="36"/>
      <c r="S553" s="36"/>
      <c r="T553" s="36"/>
    </row>
    <row r="554" spans="1:20" ht="15.75">
      <c r="A554" s="13">
        <v>58379</v>
      </c>
      <c r="B554" s="44">
        <v>31</v>
      </c>
      <c r="C554" s="35">
        <v>131.881</v>
      </c>
      <c r="D554" s="35">
        <v>277.16699999999997</v>
      </c>
      <c r="E554" s="41">
        <v>829.952</v>
      </c>
      <c r="F554" s="35">
        <v>1239</v>
      </c>
      <c r="G554" s="35">
        <v>75</v>
      </c>
      <c r="H554" s="43">
        <v>600</v>
      </c>
      <c r="I554" s="35">
        <v>695</v>
      </c>
      <c r="J554" s="35">
        <v>0</v>
      </c>
      <c r="K554" s="36"/>
      <c r="L554" s="36"/>
      <c r="M554" s="36"/>
      <c r="N554" s="36"/>
      <c r="O554" s="36"/>
      <c r="P554" s="36"/>
      <c r="Q554" s="36"/>
      <c r="R554" s="36"/>
      <c r="S554" s="36"/>
      <c r="T554" s="36"/>
    </row>
    <row r="555" spans="1:20" ht="15.75">
      <c r="A555" s="13">
        <v>58409</v>
      </c>
      <c r="B555" s="44">
        <v>30</v>
      </c>
      <c r="C555" s="35">
        <v>122.58</v>
      </c>
      <c r="D555" s="35">
        <v>297.94099999999997</v>
      </c>
      <c r="E555" s="41">
        <v>729.47900000000004</v>
      </c>
      <c r="F555" s="35">
        <v>1150</v>
      </c>
      <c r="G555" s="35">
        <v>100</v>
      </c>
      <c r="H555" s="43">
        <v>600</v>
      </c>
      <c r="I555" s="35">
        <v>695</v>
      </c>
      <c r="J555" s="35">
        <v>50</v>
      </c>
      <c r="K555" s="36"/>
      <c r="L555" s="36"/>
      <c r="M555" s="36"/>
      <c r="N555" s="36"/>
      <c r="O555" s="36"/>
      <c r="P555" s="36"/>
      <c r="Q555" s="36"/>
      <c r="R555" s="36"/>
      <c r="S555" s="36"/>
      <c r="T555" s="36"/>
    </row>
    <row r="556" spans="1:20" ht="15.75">
      <c r="A556" s="13">
        <v>58440</v>
      </c>
      <c r="B556" s="44">
        <v>31</v>
      </c>
      <c r="C556" s="35">
        <v>122.58</v>
      </c>
      <c r="D556" s="35">
        <v>297.94099999999997</v>
      </c>
      <c r="E556" s="41">
        <v>729.47900000000004</v>
      </c>
      <c r="F556" s="35">
        <v>1150</v>
      </c>
      <c r="G556" s="35">
        <v>100</v>
      </c>
      <c r="H556" s="43">
        <v>600</v>
      </c>
      <c r="I556" s="35">
        <v>695</v>
      </c>
      <c r="J556" s="35">
        <v>50</v>
      </c>
      <c r="K556" s="36"/>
      <c r="L556" s="36"/>
      <c r="M556" s="36"/>
      <c r="N556" s="36"/>
      <c r="O556" s="36"/>
      <c r="P556" s="36"/>
      <c r="Q556" s="36"/>
      <c r="R556" s="36"/>
      <c r="S556" s="36"/>
      <c r="T556" s="36"/>
    </row>
    <row r="557" spans="1:20" ht="15.75">
      <c r="A557" s="13">
        <v>58471</v>
      </c>
      <c r="B557" s="44">
        <v>31</v>
      </c>
      <c r="C557" s="35">
        <v>122.58</v>
      </c>
      <c r="D557" s="35">
        <v>297.94099999999997</v>
      </c>
      <c r="E557" s="41">
        <v>729.47900000000004</v>
      </c>
      <c r="F557" s="35">
        <v>1150</v>
      </c>
      <c r="G557" s="35">
        <v>100</v>
      </c>
      <c r="H557" s="43">
        <v>600</v>
      </c>
      <c r="I557" s="35">
        <v>695</v>
      </c>
      <c r="J557" s="35">
        <v>50</v>
      </c>
      <c r="K557" s="36"/>
      <c r="L557" s="36"/>
      <c r="M557" s="36"/>
      <c r="N557" s="36"/>
      <c r="O557" s="36"/>
      <c r="P557" s="36"/>
      <c r="Q557" s="36"/>
      <c r="R557" s="36"/>
      <c r="S557" s="36"/>
      <c r="T557" s="36"/>
    </row>
    <row r="558" spans="1:20" ht="15.75">
      <c r="A558" s="13">
        <v>58499</v>
      </c>
      <c r="B558" s="44">
        <v>29</v>
      </c>
      <c r="C558" s="35">
        <v>122.58</v>
      </c>
      <c r="D558" s="35">
        <v>297.94099999999997</v>
      </c>
      <c r="E558" s="41">
        <v>729.47900000000004</v>
      </c>
      <c r="F558" s="35">
        <v>1150</v>
      </c>
      <c r="G558" s="35">
        <v>100</v>
      </c>
      <c r="H558" s="43">
        <v>600</v>
      </c>
      <c r="I558" s="35">
        <v>695</v>
      </c>
      <c r="J558" s="35">
        <v>50</v>
      </c>
      <c r="K558" s="36"/>
      <c r="L558" s="36"/>
      <c r="M558" s="36"/>
      <c r="N558" s="36"/>
      <c r="O558" s="36"/>
      <c r="P558" s="36"/>
      <c r="Q558" s="36"/>
      <c r="R558" s="36"/>
      <c r="S558" s="36"/>
      <c r="T558" s="36"/>
    </row>
    <row r="559" spans="1:20" ht="15.75">
      <c r="A559" s="13">
        <v>58531</v>
      </c>
      <c r="B559" s="44">
        <v>31</v>
      </c>
      <c r="C559" s="35">
        <v>122.58</v>
      </c>
      <c r="D559" s="35">
        <v>297.94099999999997</v>
      </c>
      <c r="E559" s="41">
        <v>729.47900000000004</v>
      </c>
      <c r="F559" s="35">
        <v>1150</v>
      </c>
      <c r="G559" s="35">
        <v>100</v>
      </c>
      <c r="H559" s="43">
        <v>600</v>
      </c>
      <c r="I559" s="35">
        <v>695</v>
      </c>
      <c r="J559" s="35">
        <v>50</v>
      </c>
      <c r="K559" s="36"/>
      <c r="L559" s="36"/>
      <c r="M559" s="36"/>
      <c r="N559" s="36"/>
      <c r="O559" s="36"/>
      <c r="P559" s="36"/>
      <c r="Q559" s="36"/>
      <c r="R559" s="36"/>
      <c r="S559" s="36"/>
      <c r="T559" s="36"/>
    </row>
    <row r="560" spans="1:20" ht="15.75">
      <c r="A560" s="13">
        <v>58561</v>
      </c>
      <c r="B560" s="44">
        <v>30</v>
      </c>
      <c r="C560" s="35">
        <v>141.29300000000001</v>
      </c>
      <c r="D560" s="35">
        <v>267.99299999999999</v>
      </c>
      <c r="E560" s="41">
        <v>829.71400000000006</v>
      </c>
      <c r="F560" s="35">
        <v>1239</v>
      </c>
      <c r="G560" s="35">
        <v>100</v>
      </c>
      <c r="H560" s="43">
        <v>600</v>
      </c>
      <c r="I560" s="35">
        <v>695</v>
      </c>
      <c r="J560" s="35">
        <v>50</v>
      </c>
      <c r="K560" s="36"/>
      <c r="L560" s="36"/>
      <c r="M560" s="36"/>
      <c r="N560" s="36"/>
      <c r="O560" s="36"/>
      <c r="P560" s="36"/>
      <c r="Q560" s="36"/>
      <c r="R560" s="36"/>
      <c r="S560" s="36"/>
      <c r="T560" s="36"/>
    </row>
    <row r="561" spans="1:20" ht="15.75">
      <c r="A561" s="13">
        <v>58592</v>
      </c>
      <c r="B561" s="44">
        <v>31</v>
      </c>
      <c r="C561" s="35">
        <v>194.20500000000001</v>
      </c>
      <c r="D561" s="35">
        <v>267.46600000000001</v>
      </c>
      <c r="E561" s="41">
        <v>812.32899999999995</v>
      </c>
      <c r="F561" s="35">
        <v>1274</v>
      </c>
      <c r="G561" s="35">
        <v>75</v>
      </c>
      <c r="H561" s="43">
        <v>600</v>
      </c>
      <c r="I561" s="35">
        <v>695</v>
      </c>
      <c r="J561" s="35">
        <v>50</v>
      </c>
      <c r="K561" s="36"/>
      <c r="L561" s="36"/>
      <c r="M561" s="36"/>
      <c r="N561" s="36"/>
      <c r="O561" s="36"/>
      <c r="P561" s="36"/>
      <c r="Q561" s="36"/>
      <c r="R561" s="36"/>
      <c r="S561" s="36"/>
      <c r="T561" s="36"/>
    </row>
    <row r="562" spans="1:20" ht="15.75">
      <c r="A562" s="13">
        <v>58622</v>
      </c>
      <c r="B562" s="44">
        <v>30</v>
      </c>
      <c r="C562" s="35">
        <v>194.20500000000001</v>
      </c>
      <c r="D562" s="35">
        <v>267.46600000000001</v>
      </c>
      <c r="E562" s="41">
        <v>812.32899999999995</v>
      </c>
      <c r="F562" s="35">
        <v>1274</v>
      </c>
      <c r="G562" s="35">
        <v>50</v>
      </c>
      <c r="H562" s="43">
        <v>600</v>
      </c>
      <c r="I562" s="35">
        <v>695</v>
      </c>
      <c r="J562" s="35">
        <v>50</v>
      </c>
      <c r="K562" s="36"/>
      <c r="L562" s="36"/>
      <c r="M562" s="36"/>
      <c r="N562" s="36"/>
      <c r="O562" s="36"/>
      <c r="P562" s="36"/>
      <c r="Q562" s="36"/>
      <c r="R562" s="36"/>
      <c r="S562" s="36"/>
      <c r="T562" s="36"/>
    </row>
    <row r="563" spans="1:20" ht="15.75">
      <c r="A563" s="13">
        <v>58653</v>
      </c>
      <c r="B563" s="44">
        <v>31</v>
      </c>
      <c r="C563" s="35">
        <v>194.20500000000001</v>
      </c>
      <c r="D563" s="35">
        <v>267.46600000000001</v>
      </c>
      <c r="E563" s="41">
        <v>812.32899999999995</v>
      </c>
      <c r="F563" s="35">
        <v>1274</v>
      </c>
      <c r="G563" s="35">
        <v>50</v>
      </c>
      <c r="H563" s="43">
        <v>600</v>
      </c>
      <c r="I563" s="35">
        <v>695</v>
      </c>
      <c r="J563" s="35">
        <v>0</v>
      </c>
      <c r="K563" s="36"/>
      <c r="L563" s="36"/>
      <c r="M563" s="36"/>
      <c r="N563" s="36"/>
      <c r="O563" s="36"/>
      <c r="P563" s="36"/>
      <c r="Q563" s="36"/>
      <c r="R563" s="36"/>
      <c r="S563" s="36"/>
      <c r="T563" s="36"/>
    </row>
    <row r="564" spans="1:20" ht="15.75">
      <c r="A564" s="13">
        <v>58684</v>
      </c>
      <c r="B564" s="44">
        <v>31</v>
      </c>
      <c r="C564" s="35">
        <v>194.20500000000001</v>
      </c>
      <c r="D564" s="35">
        <v>267.46600000000001</v>
      </c>
      <c r="E564" s="41">
        <v>812.32899999999995</v>
      </c>
      <c r="F564" s="35">
        <v>1274</v>
      </c>
      <c r="G564" s="35">
        <v>50</v>
      </c>
      <c r="H564" s="43">
        <v>600</v>
      </c>
      <c r="I564" s="35">
        <v>695</v>
      </c>
      <c r="J564" s="35">
        <v>0</v>
      </c>
      <c r="K564" s="36"/>
      <c r="L564" s="36"/>
      <c r="M564" s="36"/>
      <c r="N564" s="36"/>
      <c r="O564" s="36"/>
      <c r="P564" s="36"/>
      <c r="Q564" s="36"/>
      <c r="R564" s="36"/>
      <c r="S564" s="36"/>
      <c r="T564" s="36"/>
    </row>
    <row r="565" spans="1:20" ht="15.75">
      <c r="A565" s="13">
        <v>58714</v>
      </c>
      <c r="B565" s="44">
        <v>30</v>
      </c>
      <c r="C565" s="35">
        <v>194.20500000000001</v>
      </c>
      <c r="D565" s="35">
        <v>267.46600000000001</v>
      </c>
      <c r="E565" s="41">
        <v>812.32899999999995</v>
      </c>
      <c r="F565" s="35">
        <v>1274</v>
      </c>
      <c r="G565" s="35">
        <v>50</v>
      </c>
      <c r="H565" s="43">
        <v>600</v>
      </c>
      <c r="I565" s="35">
        <v>695</v>
      </c>
      <c r="J565" s="35">
        <v>0</v>
      </c>
      <c r="K565" s="36"/>
      <c r="L565" s="36"/>
      <c r="M565" s="36"/>
      <c r="N565" s="36"/>
      <c r="O565" s="36"/>
      <c r="P565" s="36"/>
      <c r="Q565" s="36"/>
      <c r="R565" s="36"/>
      <c r="S565" s="36"/>
      <c r="T565" s="36"/>
    </row>
    <row r="566" spans="1:20" ht="15.75">
      <c r="A566" s="13">
        <v>58745</v>
      </c>
      <c r="B566" s="44">
        <v>31</v>
      </c>
      <c r="C566" s="35">
        <v>131.881</v>
      </c>
      <c r="D566" s="35">
        <v>277.16699999999997</v>
      </c>
      <c r="E566" s="41">
        <v>829.952</v>
      </c>
      <c r="F566" s="35">
        <v>1239</v>
      </c>
      <c r="G566" s="35">
        <v>75</v>
      </c>
      <c r="H566" s="43">
        <v>600</v>
      </c>
      <c r="I566" s="35">
        <v>695</v>
      </c>
      <c r="J566" s="35">
        <v>0</v>
      </c>
      <c r="K566" s="36"/>
      <c r="L566" s="36"/>
      <c r="M566" s="36"/>
      <c r="N566" s="36"/>
      <c r="O566" s="36"/>
      <c r="P566" s="36"/>
      <c r="Q566" s="36"/>
      <c r="R566" s="36"/>
      <c r="S566" s="36"/>
      <c r="T566" s="36"/>
    </row>
    <row r="567" spans="1:20" ht="15.75">
      <c r="A567" s="13">
        <v>58775</v>
      </c>
      <c r="B567" s="44">
        <v>30</v>
      </c>
      <c r="C567" s="35">
        <v>122.58</v>
      </c>
      <c r="D567" s="35">
        <v>297.94099999999997</v>
      </c>
      <c r="E567" s="41">
        <v>729.47900000000004</v>
      </c>
      <c r="F567" s="35">
        <v>1150</v>
      </c>
      <c r="G567" s="35">
        <v>100</v>
      </c>
      <c r="H567" s="43">
        <v>600</v>
      </c>
      <c r="I567" s="35">
        <v>695</v>
      </c>
      <c r="J567" s="35">
        <v>50</v>
      </c>
      <c r="K567" s="36"/>
      <c r="L567" s="36"/>
      <c r="M567" s="36"/>
      <c r="N567" s="36"/>
      <c r="O567" s="36"/>
      <c r="P567" s="36"/>
      <c r="Q567" s="36"/>
      <c r="R567" s="36"/>
      <c r="S567" s="36"/>
      <c r="T567" s="36"/>
    </row>
    <row r="568" spans="1:20" ht="15.75">
      <c r="A568" s="13">
        <v>58806</v>
      </c>
      <c r="B568" s="44">
        <v>31</v>
      </c>
      <c r="C568" s="35">
        <v>122.58</v>
      </c>
      <c r="D568" s="35">
        <v>297.94099999999997</v>
      </c>
      <c r="E568" s="41">
        <v>729.47900000000004</v>
      </c>
      <c r="F568" s="35">
        <v>1150</v>
      </c>
      <c r="G568" s="35">
        <v>100</v>
      </c>
      <c r="H568" s="43">
        <v>600</v>
      </c>
      <c r="I568" s="35">
        <v>695</v>
      </c>
      <c r="J568" s="35">
        <v>50</v>
      </c>
      <c r="K568" s="36"/>
      <c r="L568" s="36"/>
      <c r="M568" s="36"/>
      <c r="N568" s="36"/>
      <c r="O568" s="36"/>
      <c r="P568" s="36"/>
      <c r="Q568" s="36"/>
      <c r="R568" s="36"/>
      <c r="S568" s="36"/>
      <c r="T568" s="36"/>
    </row>
    <row r="569" spans="1:20" ht="15.75">
      <c r="A569" s="13">
        <v>58837</v>
      </c>
      <c r="B569" s="44">
        <v>31</v>
      </c>
      <c r="C569" s="35">
        <v>122.58</v>
      </c>
      <c r="D569" s="35">
        <v>297.94099999999997</v>
      </c>
      <c r="E569" s="41">
        <v>729.47900000000004</v>
      </c>
      <c r="F569" s="35">
        <v>1150</v>
      </c>
      <c r="G569" s="35">
        <v>100</v>
      </c>
      <c r="H569" s="43">
        <v>600</v>
      </c>
      <c r="I569" s="35">
        <v>695</v>
      </c>
      <c r="J569" s="35">
        <v>50</v>
      </c>
      <c r="K569" s="36"/>
      <c r="L569" s="36"/>
      <c r="M569" s="36"/>
      <c r="N569" s="36"/>
      <c r="O569" s="36"/>
      <c r="P569" s="36"/>
      <c r="Q569" s="36"/>
      <c r="R569" s="36"/>
      <c r="S569" s="36"/>
      <c r="T569" s="36"/>
    </row>
    <row r="570" spans="1:20" ht="15.75">
      <c r="A570" s="13">
        <v>58865</v>
      </c>
      <c r="B570" s="44">
        <v>28</v>
      </c>
      <c r="C570" s="35">
        <v>122.58</v>
      </c>
      <c r="D570" s="35">
        <v>297.94099999999997</v>
      </c>
      <c r="E570" s="41">
        <v>729.47900000000004</v>
      </c>
      <c r="F570" s="35">
        <v>1150</v>
      </c>
      <c r="G570" s="35">
        <v>100</v>
      </c>
      <c r="H570" s="43">
        <v>600</v>
      </c>
      <c r="I570" s="35">
        <v>695</v>
      </c>
      <c r="J570" s="35">
        <v>50</v>
      </c>
      <c r="K570" s="36"/>
      <c r="L570" s="36"/>
      <c r="M570" s="36"/>
      <c r="N570" s="36"/>
      <c r="O570" s="36"/>
      <c r="P570" s="36"/>
      <c r="Q570" s="36"/>
      <c r="R570" s="36"/>
      <c r="S570" s="36"/>
      <c r="T570" s="36"/>
    </row>
    <row r="571" spans="1:20" ht="15.75">
      <c r="A571" s="13">
        <v>58893</v>
      </c>
      <c r="B571" s="44">
        <v>31</v>
      </c>
      <c r="C571" s="35">
        <v>122.58</v>
      </c>
      <c r="D571" s="35">
        <v>297.94099999999997</v>
      </c>
      <c r="E571" s="41">
        <v>729.47900000000004</v>
      </c>
      <c r="F571" s="35">
        <v>1150</v>
      </c>
      <c r="G571" s="35">
        <v>100</v>
      </c>
      <c r="H571" s="43">
        <v>600</v>
      </c>
      <c r="I571" s="35">
        <v>695</v>
      </c>
      <c r="J571" s="35">
        <v>50</v>
      </c>
      <c r="K571" s="36"/>
      <c r="L571" s="36"/>
      <c r="M571" s="36"/>
      <c r="N571" s="36"/>
      <c r="O571" s="36"/>
      <c r="P571" s="36"/>
      <c r="Q571" s="36"/>
      <c r="R571" s="36"/>
      <c r="S571" s="36"/>
      <c r="T571" s="36"/>
    </row>
    <row r="572" spans="1:20" ht="15.75">
      <c r="A572" s="13">
        <v>58926</v>
      </c>
      <c r="B572" s="44">
        <v>30</v>
      </c>
      <c r="C572" s="35">
        <v>141.29300000000001</v>
      </c>
      <c r="D572" s="35">
        <v>267.99299999999999</v>
      </c>
      <c r="E572" s="41">
        <v>829.71400000000006</v>
      </c>
      <c r="F572" s="35">
        <v>1239</v>
      </c>
      <c r="G572" s="35">
        <v>100</v>
      </c>
      <c r="H572" s="43">
        <v>600</v>
      </c>
      <c r="I572" s="35">
        <v>695</v>
      </c>
      <c r="J572" s="35">
        <v>50</v>
      </c>
      <c r="K572" s="36"/>
      <c r="L572" s="36"/>
      <c r="M572" s="36"/>
      <c r="N572" s="36"/>
      <c r="O572" s="36"/>
      <c r="P572" s="36"/>
      <c r="Q572" s="36"/>
      <c r="R572" s="36"/>
      <c r="S572" s="36"/>
      <c r="T572" s="36"/>
    </row>
    <row r="573" spans="1:20" ht="15.75">
      <c r="A573" s="13">
        <v>58957</v>
      </c>
      <c r="B573" s="44">
        <v>31</v>
      </c>
      <c r="C573" s="35">
        <v>194.20500000000001</v>
      </c>
      <c r="D573" s="35">
        <v>267.46600000000001</v>
      </c>
      <c r="E573" s="41">
        <v>812.32899999999995</v>
      </c>
      <c r="F573" s="35">
        <v>1274</v>
      </c>
      <c r="G573" s="35">
        <v>75</v>
      </c>
      <c r="H573" s="43">
        <v>600</v>
      </c>
      <c r="I573" s="35">
        <v>695</v>
      </c>
      <c r="J573" s="35">
        <v>50</v>
      </c>
      <c r="K573" s="36"/>
      <c r="L573" s="36"/>
      <c r="M573" s="36"/>
      <c r="N573" s="36"/>
      <c r="O573" s="36"/>
      <c r="P573" s="36"/>
      <c r="Q573" s="36"/>
      <c r="R573" s="36"/>
      <c r="S573" s="36"/>
      <c r="T573" s="36"/>
    </row>
    <row r="574" spans="1:20" ht="15.75">
      <c r="A574" s="13">
        <v>58987</v>
      </c>
      <c r="B574" s="44">
        <v>30</v>
      </c>
      <c r="C574" s="35">
        <v>194.20500000000001</v>
      </c>
      <c r="D574" s="35">
        <v>267.46600000000001</v>
      </c>
      <c r="E574" s="41">
        <v>812.32899999999995</v>
      </c>
      <c r="F574" s="35">
        <v>1274</v>
      </c>
      <c r="G574" s="35">
        <v>50</v>
      </c>
      <c r="H574" s="43">
        <v>600</v>
      </c>
      <c r="I574" s="35">
        <v>695</v>
      </c>
      <c r="J574" s="35">
        <v>50</v>
      </c>
      <c r="K574" s="36"/>
      <c r="L574" s="36"/>
      <c r="M574" s="36"/>
      <c r="N574" s="36"/>
      <c r="O574" s="36"/>
      <c r="P574" s="36"/>
      <c r="Q574" s="36"/>
      <c r="R574" s="36"/>
      <c r="S574" s="36"/>
      <c r="T574" s="36"/>
    </row>
    <row r="575" spans="1:20" ht="15.75">
      <c r="A575" s="13">
        <v>59018</v>
      </c>
      <c r="B575" s="44">
        <v>31</v>
      </c>
      <c r="C575" s="35">
        <v>194.20500000000001</v>
      </c>
      <c r="D575" s="35">
        <v>267.46600000000001</v>
      </c>
      <c r="E575" s="41">
        <v>812.32899999999995</v>
      </c>
      <c r="F575" s="35">
        <v>1274</v>
      </c>
      <c r="G575" s="35">
        <v>50</v>
      </c>
      <c r="H575" s="43">
        <v>600</v>
      </c>
      <c r="I575" s="35">
        <v>695</v>
      </c>
      <c r="J575" s="35">
        <v>0</v>
      </c>
      <c r="K575" s="36"/>
      <c r="L575" s="36"/>
      <c r="M575" s="36"/>
      <c r="N575" s="36"/>
      <c r="O575" s="36"/>
      <c r="P575" s="36"/>
      <c r="Q575" s="36"/>
      <c r="R575" s="36"/>
      <c r="S575" s="36"/>
      <c r="T575" s="36"/>
    </row>
    <row r="576" spans="1:20" ht="15.75">
      <c r="A576" s="13">
        <v>59049</v>
      </c>
      <c r="B576" s="44">
        <v>31</v>
      </c>
      <c r="C576" s="35">
        <v>194.20500000000001</v>
      </c>
      <c r="D576" s="35">
        <v>267.46600000000001</v>
      </c>
      <c r="E576" s="41">
        <v>812.32899999999995</v>
      </c>
      <c r="F576" s="35">
        <v>1274</v>
      </c>
      <c r="G576" s="35">
        <v>50</v>
      </c>
      <c r="H576" s="43">
        <v>600</v>
      </c>
      <c r="I576" s="35">
        <v>695</v>
      </c>
      <c r="J576" s="35">
        <v>0</v>
      </c>
      <c r="K576" s="36"/>
      <c r="L576" s="36"/>
      <c r="M576" s="36"/>
      <c r="N576" s="36"/>
      <c r="O576" s="36"/>
      <c r="P576" s="36"/>
      <c r="Q576" s="36"/>
      <c r="R576" s="36"/>
      <c r="S576" s="36"/>
      <c r="T576" s="36"/>
    </row>
    <row r="577" spans="1:20" ht="15.75">
      <c r="A577" s="13">
        <v>59079</v>
      </c>
      <c r="B577" s="44">
        <v>30</v>
      </c>
      <c r="C577" s="35">
        <v>194.20500000000001</v>
      </c>
      <c r="D577" s="35">
        <v>267.46600000000001</v>
      </c>
      <c r="E577" s="41">
        <v>812.32899999999995</v>
      </c>
      <c r="F577" s="35">
        <v>1274</v>
      </c>
      <c r="G577" s="35">
        <v>50</v>
      </c>
      <c r="H577" s="43">
        <v>600</v>
      </c>
      <c r="I577" s="35">
        <v>695</v>
      </c>
      <c r="J577" s="35">
        <v>0</v>
      </c>
      <c r="K577" s="36"/>
      <c r="L577" s="36"/>
      <c r="M577" s="36"/>
      <c r="N577" s="36"/>
      <c r="O577" s="36"/>
      <c r="P577" s="36"/>
      <c r="Q577" s="36"/>
      <c r="R577" s="36"/>
      <c r="S577" s="36"/>
      <c r="T577" s="36"/>
    </row>
    <row r="578" spans="1:20" ht="15.75">
      <c r="A578" s="13">
        <v>59110</v>
      </c>
      <c r="B578" s="44">
        <v>31</v>
      </c>
      <c r="C578" s="35">
        <v>131.881</v>
      </c>
      <c r="D578" s="35">
        <v>277.16699999999997</v>
      </c>
      <c r="E578" s="41">
        <v>829.952</v>
      </c>
      <c r="F578" s="35">
        <v>1239</v>
      </c>
      <c r="G578" s="35">
        <v>75</v>
      </c>
      <c r="H578" s="43">
        <v>600</v>
      </c>
      <c r="I578" s="35">
        <v>695</v>
      </c>
      <c r="J578" s="35">
        <v>0</v>
      </c>
      <c r="K578" s="36"/>
      <c r="L578" s="36"/>
      <c r="M578" s="36"/>
      <c r="N578" s="36"/>
      <c r="O578" s="36"/>
      <c r="P578" s="36"/>
      <c r="Q578" s="36"/>
      <c r="R578" s="36"/>
      <c r="S578" s="36"/>
      <c r="T578" s="36"/>
    </row>
    <row r="579" spans="1:20" ht="15.75">
      <c r="A579" s="13">
        <v>59140</v>
      </c>
      <c r="B579" s="44">
        <v>30</v>
      </c>
      <c r="C579" s="35">
        <v>122.58</v>
      </c>
      <c r="D579" s="35">
        <v>297.94099999999997</v>
      </c>
      <c r="E579" s="41">
        <v>729.47900000000004</v>
      </c>
      <c r="F579" s="35">
        <v>1150</v>
      </c>
      <c r="G579" s="35">
        <v>100</v>
      </c>
      <c r="H579" s="43">
        <v>600</v>
      </c>
      <c r="I579" s="35">
        <v>695</v>
      </c>
      <c r="J579" s="35">
        <v>50</v>
      </c>
      <c r="K579" s="36"/>
      <c r="L579" s="36"/>
      <c r="M579" s="36"/>
      <c r="N579" s="36"/>
      <c r="O579" s="36"/>
      <c r="P579" s="36"/>
      <c r="Q579" s="36"/>
      <c r="R579" s="36"/>
      <c r="S579" s="36"/>
      <c r="T579" s="36"/>
    </row>
    <row r="580" spans="1:20" ht="15.75">
      <c r="A580" s="13">
        <v>59171</v>
      </c>
      <c r="B580" s="44">
        <v>31</v>
      </c>
      <c r="C580" s="35">
        <v>122.58</v>
      </c>
      <c r="D580" s="35">
        <v>297.94099999999997</v>
      </c>
      <c r="E580" s="41">
        <v>729.47900000000004</v>
      </c>
      <c r="F580" s="35">
        <v>1150</v>
      </c>
      <c r="G580" s="35">
        <v>100</v>
      </c>
      <c r="H580" s="43">
        <v>600</v>
      </c>
      <c r="I580" s="35">
        <v>695</v>
      </c>
      <c r="J580" s="35">
        <v>50</v>
      </c>
      <c r="K580" s="36"/>
      <c r="L580" s="36"/>
      <c r="M580" s="36"/>
      <c r="N580" s="36"/>
      <c r="O580" s="36"/>
      <c r="P580" s="36"/>
      <c r="Q580" s="36"/>
      <c r="R580" s="36"/>
      <c r="S580" s="36"/>
      <c r="T580" s="36"/>
    </row>
    <row r="581" spans="1:20" ht="15.75">
      <c r="A581" s="13">
        <v>59202</v>
      </c>
      <c r="B581" s="44">
        <f t="shared" ref="B581:B644" si="0">EOMONTH(A581,0)-EOMONTH(A581,-1)</f>
        <v>31</v>
      </c>
      <c r="C581" s="35">
        <v>122.58</v>
      </c>
      <c r="D581" s="35">
        <v>297.94099999999997</v>
      </c>
      <c r="E581" s="41">
        <v>729.47900000000004</v>
      </c>
      <c r="F581" s="35">
        <v>1150</v>
      </c>
      <c r="G581" s="35">
        <v>100</v>
      </c>
      <c r="H581" s="43">
        <v>600</v>
      </c>
      <c r="I581" s="35">
        <v>695</v>
      </c>
      <c r="J581" s="35">
        <v>50</v>
      </c>
      <c r="K581" s="36"/>
      <c r="L581" s="36"/>
      <c r="M581" s="36"/>
      <c r="N581" s="36"/>
      <c r="O581" s="36"/>
      <c r="P581" s="36"/>
      <c r="Q581" s="36"/>
      <c r="R581" s="36"/>
      <c r="S581" s="36"/>
      <c r="T581" s="36"/>
    </row>
    <row r="582" spans="1:20" ht="15.75">
      <c r="A582" s="13">
        <v>59230</v>
      </c>
      <c r="B582" s="44">
        <f t="shared" si="0"/>
        <v>28</v>
      </c>
      <c r="C582" s="35">
        <v>122.58</v>
      </c>
      <c r="D582" s="35">
        <v>297.94099999999997</v>
      </c>
      <c r="E582" s="41">
        <v>729.47900000000004</v>
      </c>
      <c r="F582" s="35">
        <v>1150</v>
      </c>
      <c r="G582" s="35">
        <v>100</v>
      </c>
      <c r="H582" s="43">
        <v>600</v>
      </c>
      <c r="I582" s="35">
        <v>695</v>
      </c>
      <c r="J582" s="35">
        <v>50</v>
      </c>
      <c r="K582" s="36"/>
      <c r="L582" s="36"/>
      <c r="M582" s="36"/>
      <c r="N582" s="36"/>
      <c r="O582" s="36"/>
      <c r="P582" s="36"/>
      <c r="Q582" s="36"/>
      <c r="R582" s="36"/>
      <c r="S582" s="36"/>
      <c r="T582" s="36"/>
    </row>
    <row r="583" spans="1:20" ht="15.75">
      <c r="A583" s="13">
        <v>59261</v>
      </c>
      <c r="B583" s="44">
        <f t="shared" si="0"/>
        <v>31</v>
      </c>
      <c r="C583" s="35">
        <v>122.58</v>
      </c>
      <c r="D583" s="35">
        <v>297.94099999999997</v>
      </c>
      <c r="E583" s="41">
        <v>729.47900000000004</v>
      </c>
      <c r="F583" s="35">
        <v>1150</v>
      </c>
      <c r="G583" s="35">
        <v>100</v>
      </c>
      <c r="H583" s="43">
        <v>600</v>
      </c>
      <c r="I583" s="35">
        <v>695</v>
      </c>
      <c r="J583" s="35">
        <v>50</v>
      </c>
      <c r="K583" s="36"/>
      <c r="L583" s="36"/>
      <c r="M583" s="36"/>
      <c r="N583" s="36"/>
      <c r="O583" s="36"/>
      <c r="P583" s="36"/>
      <c r="Q583" s="36"/>
      <c r="R583" s="36"/>
      <c r="S583" s="36"/>
      <c r="T583" s="36"/>
    </row>
    <row r="584" spans="1:20" ht="15.75">
      <c r="A584" s="13">
        <v>59291</v>
      </c>
      <c r="B584" s="44">
        <f t="shared" si="0"/>
        <v>30</v>
      </c>
      <c r="C584" s="35">
        <v>141.29300000000001</v>
      </c>
      <c r="D584" s="35">
        <v>267.99299999999999</v>
      </c>
      <c r="E584" s="41">
        <v>829.71400000000006</v>
      </c>
      <c r="F584" s="35">
        <v>1239</v>
      </c>
      <c r="G584" s="35">
        <v>100</v>
      </c>
      <c r="H584" s="43">
        <v>600</v>
      </c>
      <c r="I584" s="35">
        <v>695</v>
      </c>
      <c r="J584" s="35">
        <v>50</v>
      </c>
      <c r="K584" s="36"/>
      <c r="L584" s="36"/>
      <c r="M584" s="36"/>
      <c r="N584" s="36"/>
      <c r="O584" s="36"/>
      <c r="P584" s="36"/>
      <c r="Q584" s="36"/>
      <c r="R584" s="36"/>
      <c r="S584" s="36"/>
      <c r="T584" s="36"/>
    </row>
    <row r="585" spans="1:20" ht="15.75">
      <c r="A585" s="13">
        <v>59322</v>
      </c>
      <c r="B585" s="44">
        <f t="shared" si="0"/>
        <v>31</v>
      </c>
      <c r="C585" s="35">
        <v>194.20500000000001</v>
      </c>
      <c r="D585" s="35">
        <v>267.46600000000001</v>
      </c>
      <c r="E585" s="41">
        <v>812.32899999999995</v>
      </c>
      <c r="F585" s="35">
        <v>1274</v>
      </c>
      <c r="G585" s="35">
        <v>75</v>
      </c>
      <c r="H585" s="43">
        <v>600</v>
      </c>
      <c r="I585" s="35">
        <v>695</v>
      </c>
      <c r="J585" s="35">
        <v>50</v>
      </c>
      <c r="K585" s="36"/>
      <c r="L585" s="36"/>
      <c r="M585" s="36"/>
      <c r="N585" s="36"/>
      <c r="O585" s="36"/>
      <c r="P585" s="36"/>
      <c r="Q585" s="36"/>
      <c r="R585" s="36"/>
      <c r="S585" s="36"/>
      <c r="T585" s="36"/>
    </row>
    <row r="586" spans="1:20" ht="15.75">
      <c r="A586" s="13">
        <v>59352</v>
      </c>
      <c r="B586" s="44">
        <f t="shared" si="0"/>
        <v>30</v>
      </c>
      <c r="C586" s="35">
        <v>194.20500000000001</v>
      </c>
      <c r="D586" s="35">
        <v>267.46600000000001</v>
      </c>
      <c r="E586" s="41">
        <v>812.32899999999995</v>
      </c>
      <c r="F586" s="35">
        <v>1274</v>
      </c>
      <c r="G586" s="35">
        <v>50</v>
      </c>
      <c r="H586" s="43">
        <v>600</v>
      </c>
      <c r="I586" s="35">
        <v>695</v>
      </c>
      <c r="J586" s="35">
        <v>50</v>
      </c>
      <c r="K586" s="36"/>
      <c r="L586" s="36"/>
      <c r="M586" s="36"/>
      <c r="N586" s="36"/>
      <c r="O586" s="36"/>
      <c r="P586" s="36"/>
      <c r="Q586" s="36"/>
      <c r="R586" s="36"/>
      <c r="S586" s="36"/>
      <c r="T586" s="36"/>
    </row>
    <row r="587" spans="1:20" ht="15.75">
      <c r="A587" s="13">
        <v>59383</v>
      </c>
      <c r="B587" s="44">
        <f t="shared" si="0"/>
        <v>31</v>
      </c>
      <c r="C587" s="35">
        <v>194.20500000000001</v>
      </c>
      <c r="D587" s="35">
        <v>267.46600000000001</v>
      </c>
      <c r="E587" s="41">
        <v>812.32899999999995</v>
      </c>
      <c r="F587" s="35">
        <v>1274</v>
      </c>
      <c r="G587" s="35">
        <v>50</v>
      </c>
      <c r="H587" s="43">
        <v>600</v>
      </c>
      <c r="I587" s="35">
        <v>695</v>
      </c>
      <c r="J587" s="35">
        <v>0</v>
      </c>
      <c r="K587" s="36"/>
      <c r="L587" s="36"/>
      <c r="M587" s="36"/>
      <c r="N587" s="36"/>
      <c r="O587" s="36"/>
      <c r="P587" s="36"/>
      <c r="Q587" s="36"/>
      <c r="R587" s="36"/>
      <c r="S587" s="36"/>
      <c r="T587" s="36"/>
    </row>
    <row r="588" spans="1:20" ht="15.75">
      <c r="A588" s="13">
        <v>59414</v>
      </c>
      <c r="B588" s="44">
        <f t="shared" si="0"/>
        <v>31</v>
      </c>
      <c r="C588" s="35">
        <v>194.20500000000001</v>
      </c>
      <c r="D588" s="35">
        <v>267.46600000000001</v>
      </c>
      <c r="E588" s="41">
        <v>812.32899999999995</v>
      </c>
      <c r="F588" s="35">
        <v>1274</v>
      </c>
      <c r="G588" s="35">
        <v>50</v>
      </c>
      <c r="H588" s="43">
        <v>600</v>
      </c>
      <c r="I588" s="35">
        <v>695</v>
      </c>
      <c r="J588" s="35">
        <v>0</v>
      </c>
      <c r="K588" s="36"/>
      <c r="L588" s="36"/>
      <c r="M588" s="36"/>
      <c r="N588" s="36"/>
      <c r="O588" s="36"/>
      <c r="P588" s="36"/>
      <c r="Q588" s="36"/>
      <c r="R588" s="36"/>
      <c r="S588" s="36"/>
      <c r="T588" s="36"/>
    </row>
    <row r="589" spans="1:20" ht="15.75">
      <c r="A589" s="13">
        <v>59444</v>
      </c>
      <c r="B589" s="44">
        <f t="shared" si="0"/>
        <v>30</v>
      </c>
      <c r="C589" s="35">
        <v>194.20500000000001</v>
      </c>
      <c r="D589" s="35">
        <v>267.46600000000001</v>
      </c>
      <c r="E589" s="41">
        <v>812.32899999999995</v>
      </c>
      <c r="F589" s="35">
        <v>1274</v>
      </c>
      <c r="G589" s="35">
        <v>50</v>
      </c>
      <c r="H589" s="43">
        <v>600</v>
      </c>
      <c r="I589" s="35">
        <v>695</v>
      </c>
      <c r="J589" s="35">
        <v>0</v>
      </c>
      <c r="K589" s="36"/>
      <c r="L589" s="36"/>
      <c r="M589" s="36"/>
      <c r="N589" s="36"/>
      <c r="O589" s="36"/>
      <c r="P589" s="36"/>
      <c r="Q589" s="36"/>
      <c r="R589" s="36"/>
      <c r="S589" s="36"/>
      <c r="T589" s="36"/>
    </row>
    <row r="590" spans="1:20" ht="15.75">
      <c r="A590" s="13">
        <v>59475</v>
      </c>
      <c r="B590" s="44">
        <f t="shared" si="0"/>
        <v>31</v>
      </c>
      <c r="C590" s="35">
        <v>131.881</v>
      </c>
      <c r="D590" s="35">
        <v>277.16699999999997</v>
      </c>
      <c r="E590" s="41">
        <v>829.952</v>
      </c>
      <c r="F590" s="35">
        <v>1239</v>
      </c>
      <c r="G590" s="35">
        <v>75</v>
      </c>
      <c r="H590" s="43">
        <v>600</v>
      </c>
      <c r="I590" s="35">
        <v>695</v>
      </c>
      <c r="J590" s="35">
        <v>0</v>
      </c>
      <c r="K590" s="36"/>
      <c r="L590" s="36"/>
      <c r="M590" s="36"/>
      <c r="N590" s="36"/>
      <c r="O590" s="36"/>
      <c r="P590" s="36"/>
      <c r="Q590" s="36"/>
      <c r="R590" s="36"/>
      <c r="S590" s="36"/>
      <c r="T590" s="36"/>
    </row>
    <row r="591" spans="1:20" ht="15.75">
      <c r="A591" s="13">
        <v>59505</v>
      </c>
      <c r="B591" s="44">
        <f t="shared" si="0"/>
        <v>30</v>
      </c>
      <c r="C591" s="35">
        <v>122.58</v>
      </c>
      <c r="D591" s="35">
        <v>297.94099999999997</v>
      </c>
      <c r="E591" s="41">
        <v>729.47900000000004</v>
      </c>
      <c r="F591" s="35">
        <v>1150</v>
      </c>
      <c r="G591" s="35">
        <v>100</v>
      </c>
      <c r="H591" s="43">
        <v>600</v>
      </c>
      <c r="I591" s="35">
        <v>695</v>
      </c>
      <c r="J591" s="35">
        <v>50</v>
      </c>
      <c r="K591" s="36"/>
      <c r="L591" s="36"/>
      <c r="M591" s="36"/>
      <c r="N591" s="36"/>
      <c r="O591" s="36"/>
      <c r="P591" s="36"/>
      <c r="Q591" s="36"/>
      <c r="R591" s="36"/>
      <c r="S591" s="36"/>
      <c r="T591" s="36"/>
    </row>
    <row r="592" spans="1:20" ht="15.75">
      <c r="A592" s="13">
        <v>59536</v>
      </c>
      <c r="B592" s="44">
        <f t="shared" si="0"/>
        <v>31</v>
      </c>
      <c r="C592" s="35">
        <v>122.58</v>
      </c>
      <c r="D592" s="35">
        <v>297.94099999999997</v>
      </c>
      <c r="E592" s="41">
        <v>729.47900000000004</v>
      </c>
      <c r="F592" s="35">
        <v>1150</v>
      </c>
      <c r="G592" s="35">
        <v>100</v>
      </c>
      <c r="H592" s="43">
        <v>600</v>
      </c>
      <c r="I592" s="35">
        <v>695</v>
      </c>
      <c r="J592" s="35">
        <v>50</v>
      </c>
      <c r="K592" s="36"/>
      <c r="L592" s="36"/>
      <c r="M592" s="36"/>
      <c r="N592" s="36"/>
      <c r="O592" s="36"/>
      <c r="P592" s="36"/>
      <c r="Q592" s="36"/>
      <c r="R592" s="36"/>
      <c r="S592" s="36"/>
      <c r="T592" s="36"/>
    </row>
    <row r="593" spans="1:20" ht="15.75">
      <c r="A593" s="13">
        <v>59567</v>
      </c>
      <c r="B593" s="44">
        <f t="shared" si="0"/>
        <v>31</v>
      </c>
      <c r="C593" s="35">
        <v>122.58</v>
      </c>
      <c r="D593" s="35">
        <v>297.94099999999997</v>
      </c>
      <c r="E593" s="41">
        <v>729.47900000000004</v>
      </c>
      <c r="F593" s="35">
        <v>1150</v>
      </c>
      <c r="G593" s="35">
        <v>100</v>
      </c>
      <c r="H593" s="43">
        <v>600</v>
      </c>
      <c r="I593" s="35">
        <v>695</v>
      </c>
      <c r="J593" s="35">
        <v>50</v>
      </c>
      <c r="K593" s="36"/>
      <c r="L593" s="36"/>
      <c r="M593" s="36"/>
      <c r="N593" s="36"/>
      <c r="O593" s="36"/>
      <c r="P593" s="36"/>
      <c r="Q593" s="36"/>
      <c r="R593" s="36"/>
      <c r="S593" s="36"/>
      <c r="T593" s="36"/>
    </row>
    <row r="594" spans="1:20" ht="15.75">
      <c r="A594" s="13">
        <v>59595</v>
      </c>
      <c r="B594" s="44">
        <f t="shared" si="0"/>
        <v>28</v>
      </c>
      <c r="C594" s="35">
        <v>122.58</v>
      </c>
      <c r="D594" s="35">
        <v>297.94099999999997</v>
      </c>
      <c r="E594" s="41">
        <v>729.47900000000004</v>
      </c>
      <c r="F594" s="35">
        <v>1150</v>
      </c>
      <c r="G594" s="35">
        <v>100</v>
      </c>
      <c r="H594" s="43">
        <v>600</v>
      </c>
      <c r="I594" s="35">
        <v>695</v>
      </c>
      <c r="J594" s="35">
        <v>50</v>
      </c>
      <c r="K594" s="36"/>
      <c r="L594" s="36"/>
      <c r="M594" s="36"/>
      <c r="N594" s="36"/>
      <c r="O594" s="36"/>
      <c r="P594" s="36"/>
      <c r="Q594" s="36"/>
      <c r="R594" s="36"/>
      <c r="S594" s="36"/>
      <c r="T594" s="36"/>
    </row>
    <row r="595" spans="1:20" ht="15.75">
      <c r="A595" s="13">
        <v>59626</v>
      </c>
      <c r="B595" s="44">
        <f t="shared" si="0"/>
        <v>31</v>
      </c>
      <c r="C595" s="35">
        <v>122.58</v>
      </c>
      <c r="D595" s="35">
        <v>297.94099999999997</v>
      </c>
      <c r="E595" s="41">
        <v>729.47900000000004</v>
      </c>
      <c r="F595" s="35">
        <v>1150</v>
      </c>
      <c r="G595" s="35">
        <v>100</v>
      </c>
      <c r="H595" s="43">
        <v>600</v>
      </c>
      <c r="I595" s="35">
        <v>695</v>
      </c>
      <c r="J595" s="35">
        <v>50</v>
      </c>
      <c r="K595" s="36"/>
      <c r="L595" s="36"/>
      <c r="M595" s="36"/>
      <c r="N595" s="36"/>
      <c r="O595" s="36"/>
      <c r="P595" s="36"/>
      <c r="Q595" s="36"/>
      <c r="R595" s="36"/>
      <c r="S595" s="36"/>
      <c r="T595" s="36"/>
    </row>
    <row r="596" spans="1:20" ht="15.75">
      <c r="A596" s="13">
        <v>59656</v>
      </c>
      <c r="B596" s="44">
        <f t="shared" si="0"/>
        <v>30</v>
      </c>
      <c r="C596" s="35">
        <v>141.29300000000001</v>
      </c>
      <c r="D596" s="35">
        <v>267.99299999999999</v>
      </c>
      <c r="E596" s="41">
        <v>829.71400000000006</v>
      </c>
      <c r="F596" s="35">
        <v>1239</v>
      </c>
      <c r="G596" s="35">
        <v>100</v>
      </c>
      <c r="H596" s="43">
        <v>600</v>
      </c>
      <c r="I596" s="35">
        <v>695</v>
      </c>
      <c r="J596" s="35">
        <v>50</v>
      </c>
      <c r="K596" s="36"/>
      <c r="L596" s="36"/>
      <c r="M596" s="36"/>
      <c r="N596" s="36"/>
      <c r="O596" s="36"/>
      <c r="P596" s="36"/>
      <c r="Q596" s="36"/>
      <c r="R596" s="36"/>
      <c r="S596" s="36"/>
      <c r="T596" s="36"/>
    </row>
    <row r="597" spans="1:20" ht="15.75">
      <c r="A597" s="13">
        <v>59687</v>
      </c>
      <c r="B597" s="44">
        <f t="shared" si="0"/>
        <v>31</v>
      </c>
      <c r="C597" s="35">
        <v>194.20500000000001</v>
      </c>
      <c r="D597" s="35">
        <v>267.46600000000001</v>
      </c>
      <c r="E597" s="41">
        <v>812.32899999999995</v>
      </c>
      <c r="F597" s="35">
        <v>1274</v>
      </c>
      <c r="G597" s="35">
        <v>75</v>
      </c>
      <c r="H597" s="43">
        <v>600</v>
      </c>
      <c r="I597" s="35">
        <v>695</v>
      </c>
      <c r="J597" s="35">
        <v>50</v>
      </c>
      <c r="K597" s="36"/>
      <c r="L597" s="36"/>
      <c r="M597" s="36"/>
      <c r="N597" s="36"/>
      <c r="O597" s="36"/>
      <c r="P597" s="36"/>
      <c r="Q597" s="36"/>
      <c r="R597" s="36"/>
      <c r="S597" s="36"/>
      <c r="T597" s="36"/>
    </row>
    <row r="598" spans="1:20" ht="15.75">
      <c r="A598" s="13">
        <v>59717</v>
      </c>
      <c r="B598" s="44">
        <f t="shared" si="0"/>
        <v>30</v>
      </c>
      <c r="C598" s="35">
        <v>194.20500000000001</v>
      </c>
      <c r="D598" s="35">
        <v>267.46600000000001</v>
      </c>
      <c r="E598" s="41">
        <v>812.32899999999995</v>
      </c>
      <c r="F598" s="35">
        <v>1274</v>
      </c>
      <c r="G598" s="35">
        <v>50</v>
      </c>
      <c r="H598" s="43">
        <v>600</v>
      </c>
      <c r="I598" s="35">
        <v>695</v>
      </c>
      <c r="J598" s="35">
        <v>50</v>
      </c>
      <c r="K598" s="36"/>
      <c r="L598" s="36"/>
      <c r="M598" s="36"/>
      <c r="N598" s="36"/>
      <c r="O598" s="36"/>
      <c r="P598" s="36"/>
      <c r="Q598" s="36"/>
      <c r="R598" s="36"/>
      <c r="S598" s="36"/>
      <c r="T598" s="36"/>
    </row>
    <row r="599" spans="1:20" ht="15.75">
      <c r="A599" s="13">
        <v>59748</v>
      </c>
      <c r="B599" s="44">
        <f t="shared" si="0"/>
        <v>31</v>
      </c>
      <c r="C599" s="35">
        <v>194.20500000000001</v>
      </c>
      <c r="D599" s="35">
        <v>267.46600000000001</v>
      </c>
      <c r="E599" s="41">
        <v>812.32899999999995</v>
      </c>
      <c r="F599" s="35">
        <v>1274</v>
      </c>
      <c r="G599" s="35">
        <v>50</v>
      </c>
      <c r="H599" s="43">
        <v>600</v>
      </c>
      <c r="I599" s="35">
        <v>695</v>
      </c>
      <c r="J599" s="35">
        <v>0</v>
      </c>
      <c r="K599" s="36"/>
      <c r="L599" s="36"/>
      <c r="M599" s="36"/>
      <c r="N599" s="36"/>
      <c r="O599" s="36"/>
      <c r="P599" s="36"/>
      <c r="Q599" s="36"/>
      <c r="R599" s="36"/>
      <c r="S599" s="36"/>
      <c r="T599" s="36"/>
    </row>
    <row r="600" spans="1:20" ht="15.75">
      <c r="A600" s="13">
        <v>59779</v>
      </c>
      <c r="B600" s="44">
        <f t="shared" si="0"/>
        <v>31</v>
      </c>
      <c r="C600" s="35">
        <v>194.20500000000001</v>
      </c>
      <c r="D600" s="35">
        <v>267.46600000000001</v>
      </c>
      <c r="E600" s="41">
        <v>812.32899999999995</v>
      </c>
      <c r="F600" s="35">
        <v>1274</v>
      </c>
      <c r="G600" s="35">
        <v>50</v>
      </c>
      <c r="H600" s="43">
        <v>600</v>
      </c>
      <c r="I600" s="35">
        <v>695</v>
      </c>
      <c r="J600" s="35">
        <v>0</v>
      </c>
      <c r="K600" s="36"/>
      <c r="L600" s="36"/>
      <c r="M600" s="36"/>
      <c r="N600" s="36"/>
      <c r="O600" s="36"/>
      <c r="P600" s="36"/>
      <c r="Q600" s="36"/>
      <c r="R600" s="36"/>
      <c r="S600" s="36"/>
      <c r="T600" s="36"/>
    </row>
    <row r="601" spans="1:20" ht="15.75">
      <c r="A601" s="13">
        <v>59809</v>
      </c>
      <c r="B601" s="44">
        <f t="shared" si="0"/>
        <v>30</v>
      </c>
      <c r="C601" s="35">
        <v>194.20500000000001</v>
      </c>
      <c r="D601" s="35">
        <v>267.46600000000001</v>
      </c>
      <c r="E601" s="41">
        <v>812.32899999999995</v>
      </c>
      <c r="F601" s="35">
        <v>1274</v>
      </c>
      <c r="G601" s="35">
        <v>50</v>
      </c>
      <c r="H601" s="43">
        <v>600</v>
      </c>
      <c r="I601" s="35">
        <v>695</v>
      </c>
      <c r="J601" s="35">
        <v>0</v>
      </c>
      <c r="K601" s="36"/>
      <c r="L601" s="36"/>
      <c r="M601" s="36"/>
      <c r="N601" s="36"/>
      <c r="O601" s="36"/>
      <c r="P601" s="36"/>
      <c r="Q601" s="36"/>
      <c r="R601" s="36"/>
      <c r="S601" s="36"/>
      <c r="T601" s="36"/>
    </row>
    <row r="602" spans="1:20" ht="15.75">
      <c r="A602" s="13">
        <v>59840</v>
      </c>
      <c r="B602" s="44">
        <f t="shared" si="0"/>
        <v>31</v>
      </c>
      <c r="C602" s="35">
        <v>131.881</v>
      </c>
      <c r="D602" s="35">
        <v>277.16699999999997</v>
      </c>
      <c r="E602" s="41">
        <v>829.952</v>
      </c>
      <c r="F602" s="35">
        <v>1239</v>
      </c>
      <c r="G602" s="35">
        <v>75</v>
      </c>
      <c r="H602" s="43">
        <v>600</v>
      </c>
      <c r="I602" s="35">
        <v>695</v>
      </c>
      <c r="J602" s="35">
        <v>0</v>
      </c>
      <c r="K602" s="36"/>
      <c r="L602" s="36"/>
      <c r="M602" s="36"/>
      <c r="N602" s="36"/>
      <c r="O602" s="36"/>
      <c r="P602" s="36"/>
      <c r="Q602" s="36"/>
      <c r="R602" s="36"/>
      <c r="S602" s="36"/>
      <c r="T602" s="36"/>
    </row>
    <row r="603" spans="1:20" ht="15.75">
      <c r="A603" s="13">
        <v>59870</v>
      </c>
      <c r="B603" s="44">
        <f t="shared" si="0"/>
        <v>30</v>
      </c>
      <c r="C603" s="35">
        <v>122.58</v>
      </c>
      <c r="D603" s="35">
        <v>297.94099999999997</v>
      </c>
      <c r="E603" s="41">
        <v>729.47900000000004</v>
      </c>
      <c r="F603" s="35">
        <v>1150</v>
      </c>
      <c r="G603" s="35">
        <v>100</v>
      </c>
      <c r="H603" s="43">
        <v>600</v>
      </c>
      <c r="I603" s="35">
        <v>695</v>
      </c>
      <c r="J603" s="35">
        <v>50</v>
      </c>
      <c r="K603" s="36"/>
      <c r="L603" s="36"/>
      <c r="M603" s="36"/>
      <c r="N603" s="36"/>
      <c r="O603" s="36"/>
      <c r="P603" s="36"/>
      <c r="Q603" s="36"/>
      <c r="R603" s="36"/>
      <c r="S603" s="36"/>
      <c r="T603" s="36"/>
    </row>
    <row r="604" spans="1:20" ht="15.75">
      <c r="A604" s="13">
        <v>59901</v>
      </c>
      <c r="B604" s="44">
        <f t="shared" si="0"/>
        <v>31</v>
      </c>
      <c r="C604" s="35">
        <v>122.58</v>
      </c>
      <c r="D604" s="35">
        <v>297.94099999999997</v>
      </c>
      <c r="E604" s="41">
        <v>729.47900000000004</v>
      </c>
      <c r="F604" s="35">
        <v>1150</v>
      </c>
      <c r="G604" s="35">
        <v>100</v>
      </c>
      <c r="H604" s="43">
        <v>600</v>
      </c>
      <c r="I604" s="35">
        <v>695</v>
      </c>
      <c r="J604" s="35">
        <v>50</v>
      </c>
      <c r="K604" s="36"/>
      <c r="L604" s="36"/>
      <c r="M604" s="36"/>
      <c r="N604" s="36"/>
      <c r="O604" s="36"/>
      <c r="P604" s="36"/>
      <c r="Q604" s="36"/>
      <c r="R604" s="36"/>
      <c r="S604" s="36"/>
      <c r="T604" s="36"/>
    </row>
    <row r="605" spans="1:20" ht="15.75">
      <c r="A605" s="13">
        <v>59932</v>
      </c>
      <c r="B605" s="44">
        <f t="shared" si="0"/>
        <v>31</v>
      </c>
      <c r="C605" s="35">
        <v>122.58</v>
      </c>
      <c r="D605" s="35">
        <v>297.94099999999997</v>
      </c>
      <c r="E605" s="41">
        <v>729.47900000000004</v>
      </c>
      <c r="F605" s="35">
        <v>1150</v>
      </c>
      <c r="G605" s="35">
        <v>100</v>
      </c>
      <c r="H605" s="43">
        <v>600</v>
      </c>
      <c r="I605" s="35">
        <v>695</v>
      </c>
      <c r="J605" s="35">
        <v>50</v>
      </c>
      <c r="K605" s="36"/>
      <c r="L605" s="36"/>
      <c r="M605" s="36"/>
      <c r="N605" s="36"/>
      <c r="O605" s="36"/>
      <c r="P605" s="36"/>
      <c r="Q605" s="36"/>
      <c r="R605" s="36"/>
      <c r="S605" s="36"/>
      <c r="T605" s="36"/>
    </row>
    <row r="606" spans="1:20" ht="15.75">
      <c r="A606" s="13">
        <v>59961</v>
      </c>
      <c r="B606" s="44">
        <f t="shared" si="0"/>
        <v>29</v>
      </c>
      <c r="C606" s="35">
        <v>122.58</v>
      </c>
      <c r="D606" s="35">
        <v>297.94099999999997</v>
      </c>
      <c r="E606" s="41">
        <v>729.47900000000004</v>
      </c>
      <c r="F606" s="35">
        <v>1150</v>
      </c>
      <c r="G606" s="35">
        <v>100</v>
      </c>
      <c r="H606" s="43">
        <v>600</v>
      </c>
      <c r="I606" s="35">
        <v>695</v>
      </c>
      <c r="J606" s="35">
        <v>50</v>
      </c>
      <c r="K606" s="36"/>
      <c r="L606" s="36"/>
      <c r="M606" s="36"/>
      <c r="N606" s="36"/>
      <c r="O606" s="36"/>
      <c r="P606" s="36"/>
      <c r="Q606" s="36"/>
      <c r="R606" s="36"/>
      <c r="S606" s="36"/>
      <c r="T606" s="36"/>
    </row>
    <row r="607" spans="1:20" ht="15.75">
      <c r="A607" s="13">
        <v>59992</v>
      </c>
      <c r="B607" s="44">
        <f t="shared" si="0"/>
        <v>31</v>
      </c>
      <c r="C607" s="35">
        <v>122.58</v>
      </c>
      <c r="D607" s="35">
        <v>297.94099999999997</v>
      </c>
      <c r="E607" s="41">
        <v>729.47900000000004</v>
      </c>
      <c r="F607" s="35">
        <v>1150</v>
      </c>
      <c r="G607" s="35">
        <v>100</v>
      </c>
      <c r="H607" s="43">
        <v>600</v>
      </c>
      <c r="I607" s="35">
        <v>695</v>
      </c>
      <c r="J607" s="35">
        <v>50</v>
      </c>
      <c r="K607" s="36"/>
      <c r="L607" s="36"/>
      <c r="M607" s="36"/>
      <c r="N607" s="36"/>
      <c r="O607" s="36"/>
      <c r="P607" s="36"/>
      <c r="Q607" s="36"/>
      <c r="R607" s="36"/>
      <c r="S607" s="36"/>
      <c r="T607" s="36"/>
    </row>
    <row r="608" spans="1:20" ht="15.75">
      <c r="A608" s="13">
        <v>60022</v>
      </c>
      <c r="B608" s="44">
        <f t="shared" si="0"/>
        <v>30</v>
      </c>
      <c r="C608" s="35">
        <v>141.29300000000001</v>
      </c>
      <c r="D608" s="35">
        <v>267.99299999999999</v>
      </c>
      <c r="E608" s="41">
        <v>829.71400000000006</v>
      </c>
      <c r="F608" s="35">
        <v>1239</v>
      </c>
      <c r="G608" s="35">
        <v>100</v>
      </c>
      <c r="H608" s="43">
        <v>600</v>
      </c>
      <c r="I608" s="35">
        <v>695</v>
      </c>
      <c r="J608" s="35">
        <v>50</v>
      </c>
      <c r="K608" s="36"/>
      <c r="L608" s="36"/>
      <c r="M608" s="36"/>
      <c r="N608" s="36"/>
      <c r="O608" s="36"/>
      <c r="P608" s="36"/>
      <c r="Q608" s="36"/>
      <c r="R608" s="36"/>
      <c r="S608" s="36"/>
      <c r="T608" s="36"/>
    </row>
    <row r="609" spans="1:20" ht="15.75">
      <c r="A609" s="13">
        <v>60053</v>
      </c>
      <c r="B609" s="44">
        <f t="shared" si="0"/>
        <v>31</v>
      </c>
      <c r="C609" s="35">
        <v>194.20500000000001</v>
      </c>
      <c r="D609" s="35">
        <v>267.46600000000001</v>
      </c>
      <c r="E609" s="41">
        <v>812.32899999999995</v>
      </c>
      <c r="F609" s="35">
        <v>1274</v>
      </c>
      <c r="G609" s="35">
        <v>75</v>
      </c>
      <c r="H609" s="43">
        <v>600</v>
      </c>
      <c r="I609" s="35">
        <v>695</v>
      </c>
      <c r="J609" s="35">
        <v>50</v>
      </c>
      <c r="K609" s="36"/>
      <c r="L609" s="36"/>
      <c r="M609" s="36"/>
      <c r="N609" s="36"/>
      <c r="O609" s="36"/>
      <c r="P609" s="36"/>
      <c r="Q609" s="36"/>
      <c r="R609" s="36"/>
      <c r="S609" s="36"/>
      <c r="T609" s="36"/>
    </row>
    <row r="610" spans="1:20" ht="15.75">
      <c r="A610" s="13">
        <v>60083</v>
      </c>
      <c r="B610" s="44">
        <f t="shared" si="0"/>
        <v>30</v>
      </c>
      <c r="C610" s="35">
        <v>194.20500000000001</v>
      </c>
      <c r="D610" s="35">
        <v>267.46600000000001</v>
      </c>
      <c r="E610" s="41">
        <v>812.32899999999995</v>
      </c>
      <c r="F610" s="35">
        <v>1274</v>
      </c>
      <c r="G610" s="35">
        <v>50</v>
      </c>
      <c r="H610" s="43">
        <v>600</v>
      </c>
      <c r="I610" s="35">
        <v>695</v>
      </c>
      <c r="J610" s="35">
        <v>50</v>
      </c>
      <c r="K610" s="36"/>
      <c r="L610" s="36"/>
      <c r="M610" s="36"/>
      <c r="N610" s="36"/>
      <c r="O610" s="36"/>
      <c r="P610" s="36"/>
      <c r="Q610" s="36"/>
      <c r="R610" s="36"/>
      <c r="S610" s="36"/>
      <c r="T610" s="36"/>
    </row>
    <row r="611" spans="1:20" ht="15.75">
      <c r="A611" s="13">
        <v>60114</v>
      </c>
      <c r="B611" s="44">
        <f t="shared" si="0"/>
        <v>31</v>
      </c>
      <c r="C611" s="35">
        <v>194.20500000000001</v>
      </c>
      <c r="D611" s="35">
        <v>267.46600000000001</v>
      </c>
      <c r="E611" s="41">
        <v>812.32899999999995</v>
      </c>
      <c r="F611" s="35">
        <v>1274</v>
      </c>
      <c r="G611" s="35">
        <v>50</v>
      </c>
      <c r="H611" s="43">
        <v>600</v>
      </c>
      <c r="I611" s="35">
        <v>695</v>
      </c>
      <c r="J611" s="35">
        <v>0</v>
      </c>
      <c r="K611" s="36"/>
      <c r="L611" s="36"/>
      <c r="M611" s="36"/>
      <c r="N611" s="36"/>
      <c r="O611" s="36"/>
      <c r="P611" s="36"/>
      <c r="Q611" s="36"/>
      <c r="R611" s="36"/>
      <c r="S611" s="36"/>
      <c r="T611" s="36"/>
    </row>
    <row r="612" spans="1:20" ht="15.75">
      <c r="A612" s="13">
        <v>60145</v>
      </c>
      <c r="B612" s="44">
        <f t="shared" si="0"/>
        <v>31</v>
      </c>
      <c r="C612" s="35">
        <v>194.20500000000001</v>
      </c>
      <c r="D612" s="35">
        <v>267.46600000000001</v>
      </c>
      <c r="E612" s="41">
        <v>812.32899999999995</v>
      </c>
      <c r="F612" s="35">
        <v>1274</v>
      </c>
      <c r="G612" s="35">
        <v>50</v>
      </c>
      <c r="H612" s="43">
        <v>600</v>
      </c>
      <c r="I612" s="35">
        <v>695</v>
      </c>
      <c r="J612" s="35">
        <v>0</v>
      </c>
      <c r="K612" s="36"/>
      <c r="L612" s="36"/>
      <c r="M612" s="36"/>
      <c r="N612" s="36"/>
      <c r="O612" s="36"/>
      <c r="P612" s="36"/>
      <c r="Q612" s="36"/>
      <c r="R612" s="36"/>
      <c r="S612" s="36"/>
      <c r="T612" s="36"/>
    </row>
    <row r="613" spans="1:20" ht="15.75">
      <c r="A613" s="13">
        <v>60175</v>
      </c>
      <c r="B613" s="44">
        <f t="shared" si="0"/>
        <v>30</v>
      </c>
      <c r="C613" s="35">
        <v>194.20500000000001</v>
      </c>
      <c r="D613" s="35">
        <v>267.46600000000001</v>
      </c>
      <c r="E613" s="41">
        <v>812.32899999999995</v>
      </c>
      <c r="F613" s="35">
        <v>1274</v>
      </c>
      <c r="G613" s="35">
        <v>50</v>
      </c>
      <c r="H613" s="43">
        <v>600</v>
      </c>
      <c r="I613" s="35">
        <v>695</v>
      </c>
      <c r="J613" s="35">
        <v>0</v>
      </c>
      <c r="K613" s="36"/>
      <c r="L613" s="36"/>
      <c r="M613" s="36"/>
      <c r="N613" s="36"/>
      <c r="O613" s="36"/>
      <c r="P613" s="36"/>
      <c r="Q613" s="36"/>
      <c r="R613" s="36"/>
      <c r="S613" s="36"/>
      <c r="T613" s="36"/>
    </row>
    <row r="614" spans="1:20" ht="15.75">
      <c r="A614" s="13">
        <v>60206</v>
      </c>
      <c r="B614" s="44">
        <f t="shared" si="0"/>
        <v>31</v>
      </c>
      <c r="C614" s="35">
        <v>131.881</v>
      </c>
      <c r="D614" s="35">
        <v>277.16699999999997</v>
      </c>
      <c r="E614" s="41">
        <v>829.952</v>
      </c>
      <c r="F614" s="35">
        <v>1239</v>
      </c>
      <c r="G614" s="35">
        <v>75</v>
      </c>
      <c r="H614" s="43">
        <v>600</v>
      </c>
      <c r="I614" s="35">
        <v>695</v>
      </c>
      <c r="J614" s="35">
        <v>0</v>
      </c>
      <c r="K614" s="36"/>
      <c r="L614" s="36"/>
      <c r="M614" s="36"/>
      <c r="N614" s="36"/>
      <c r="O614" s="36"/>
      <c r="P614" s="36"/>
      <c r="Q614" s="36"/>
      <c r="R614" s="36"/>
      <c r="S614" s="36"/>
      <c r="T614" s="36"/>
    </row>
    <row r="615" spans="1:20" ht="15.75">
      <c r="A615" s="13">
        <v>60236</v>
      </c>
      <c r="B615" s="44">
        <f t="shared" si="0"/>
        <v>30</v>
      </c>
      <c r="C615" s="35">
        <v>122.58</v>
      </c>
      <c r="D615" s="35">
        <v>297.94099999999997</v>
      </c>
      <c r="E615" s="41">
        <v>729.47900000000004</v>
      </c>
      <c r="F615" s="35">
        <v>1150</v>
      </c>
      <c r="G615" s="35">
        <v>100</v>
      </c>
      <c r="H615" s="43">
        <v>600</v>
      </c>
      <c r="I615" s="35">
        <v>695</v>
      </c>
      <c r="J615" s="35">
        <v>50</v>
      </c>
      <c r="K615" s="36"/>
      <c r="L615" s="36"/>
      <c r="M615" s="36"/>
      <c r="N615" s="36"/>
      <c r="O615" s="36"/>
      <c r="P615" s="36"/>
      <c r="Q615" s="36"/>
      <c r="R615" s="36"/>
      <c r="S615" s="36"/>
      <c r="T615" s="36"/>
    </row>
    <row r="616" spans="1:20" ht="15.75">
      <c r="A616" s="13">
        <v>60267</v>
      </c>
      <c r="B616" s="44">
        <f t="shared" si="0"/>
        <v>31</v>
      </c>
      <c r="C616" s="35">
        <v>122.58</v>
      </c>
      <c r="D616" s="35">
        <v>297.94099999999997</v>
      </c>
      <c r="E616" s="41">
        <v>729.47900000000004</v>
      </c>
      <c r="F616" s="35">
        <v>1150</v>
      </c>
      <c r="G616" s="35">
        <v>100</v>
      </c>
      <c r="H616" s="43">
        <v>600</v>
      </c>
      <c r="I616" s="35">
        <v>695</v>
      </c>
      <c r="J616" s="35">
        <v>50</v>
      </c>
      <c r="K616" s="36"/>
      <c r="L616" s="36"/>
      <c r="M616" s="36"/>
      <c r="N616" s="36"/>
      <c r="O616" s="36"/>
      <c r="P616" s="36"/>
      <c r="Q616" s="36"/>
      <c r="R616" s="36"/>
      <c r="S616" s="36"/>
      <c r="T616" s="36"/>
    </row>
    <row r="617" spans="1:20" ht="15.75">
      <c r="A617" s="13">
        <v>60298</v>
      </c>
      <c r="B617" s="44">
        <f t="shared" si="0"/>
        <v>31</v>
      </c>
      <c r="C617" s="35">
        <v>122.58</v>
      </c>
      <c r="D617" s="35">
        <v>297.94099999999997</v>
      </c>
      <c r="E617" s="41">
        <v>729.47900000000004</v>
      </c>
      <c r="F617" s="35">
        <v>1150</v>
      </c>
      <c r="G617" s="35">
        <v>100</v>
      </c>
      <c r="H617" s="43">
        <v>600</v>
      </c>
      <c r="I617" s="35">
        <v>695</v>
      </c>
      <c r="J617" s="35">
        <v>50</v>
      </c>
      <c r="K617" s="36"/>
      <c r="L617" s="36"/>
      <c r="M617" s="36"/>
      <c r="N617" s="36"/>
      <c r="O617" s="36"/>
      <c r="P617" s="36"/>
      <c r="Q617" s="36"/>
      <c r="R617" s="36"/>
      <c r="S617" s="36"/>
      <c r="T617" s="36"/>
    </row>
    <row r="618" spans="1:20" ht="15.75">
      <c r="A618" s="13">
        <v>60326</v>
      </c>
      <c r="B618" s="44">
        <f t="shared" si="0"/>
        <v>28</v>
      </c>
      <c r="C618" s="35">
        <v>122.58</v>
      </c>
      <c r="D618" s="35">
        <v>297.94099999999997</v>
      </c>
      <c r="E618" s="41">
        <v>729.47900000000004</v>
      </c>
      <c r="F618" s="35">
        <v>1150</v>
      </c>
      <c r="G618" s="35">
        <v>100</v>
      </c>
      <c r="H618" s="43">
        <v>600</v>
      </c>
      <c r="I618" s="35">
        <v>695</v>
      </c>
      <c r="J618" s="35">
        <v>50</v>
      </c>
      <c r="K618" s="36"/>
      <c r="L618" s="36"/>
      <c r="M618" s="36"/>
      <c r="N618" s="36"/>
      <c r="O618" s="36"/>
      <c r="P618" s="36"/>
      <c r="Q618" s="36"/>
      <c r="R618" s="36"/>
      <c r="S618" s="36"/>
      <c r="T618" s="36"/>
    </row>
    <row r="619" spans="1:20" ht="15.75">
      <c r="A619" s="13">
        <v>60357</v>
      </c>
      <c r="B619" s="44">
        <f t="shared" si="0"/>
        <v>31</v>
      </c>
      <c r="C619" s="35">
        <v>122.58</v>
      </c>
      <c r="D619" s="35">
        <v>297.94099999999997</v>
      </c>
      <c r="E619" s="41">
        <v>729.47900000000004</v>
      </c>
      <c r="F619" s="35">
        <v>1150</v>
      </c>
      <c r="G619" s="35">
        <v>100</v>
      </c>
      <c r="H619" s="43">
        <v>600</v>
      </c>
      <c r="I619" s="35">
        <v>695</v>
      </c>
      <c r="J619" s="35">
        <v>50</v>
      </c>
      <c r="K619" s="36"/>
      <c r="L619" s="36"/>
      <c r="M619" s="36"/>
      <c r="N619" s="36"/>
      <c r="O619" s="36"/>
      <c r="P619" s="36"/>
      <c r="Q619" s="36"/>
      <c r="R619" s="36"/>
      <c r="S619" s="36"/>
      <c r="T619" s="36"/>
    </row>
    <row r="620" spans="1:20" ht="15.75">
      <c r="A620" s="13">
        <v>60387</v>
      </c>
      <c r="B620" s="44">
        <f t="shared" si="0"/>
        <v>30</v>
      </c>
      <c r="C620" s="35">
        <v>141.29300000000001</v>
      </c>
      <c r="D620" s="35">
        <v>267.99299999999999</v>
      </c>
      <c r="E620" s="41">
        <v>829.71400000000006</v>
      </c>
      <c r="F620" s="35">
        <v>1239</v>
      </c>
      <c r="G620" s="35">
        <v>100</v>
      </c>
      <c r="H620" s="43">
        <v>600</v>
      </c>
      <c r="I620" s="35">
        <v>695</v>
      </c>
      <c r="J620" s="35">
        <v>50</v>
      </c>
      <c r="K620" s="36"/>
      <c r="L620" s="36"/>
      <c r="M620" s="36"/>
      <c r="N620" s="36"/>
      <c r="O620" s="36"/>
      <c r="P620" s="36"/>
      <c r="Q620" s="36"/>
      <c r="R620" s="36"/>
      <c r="S620" s="36"/>
      <c r="T620" s="36"/>
    </row>
    <row r="621" spans="1:20" ht="15.75">
      <c r="A621" s="13">
        <v>60418</v>
      </c>
      <c r="B621" s="44">
        <f t="shared" si="0"/>
        <v>31</v>
      </c>
      <c r="C621" s="35">
        <v>194.20500000000001</v>
      </c>
      <c r="D621" s="35">
        <v>267.46600000000001</v>
      </c>
      <c r="E621" s="41">
        <v>812.32899999999995</v>
      </c>
      <c r="F621" s="35">
        <v>1274</v>
      </c>
      <c r="G621" s="35">
        <v>75</v>
      </c>
      <c r="H621" s="43">
        <v>600</v>
      </c>
      <c r="I621" s="35">
        <v>695</v>
      </c>
      <c r="J621" s="35">
        <v>50</v>
      </c>
      <c r="K621" s="36"/>
      <c r="L621" s="36"/>
      <c r="M621" s="36"/>
      <c r="N621" s="36"/>
      <c r="O621" s="36"/>
      <c r="P621" s="36"/>
      <c r="Q621" s="36"/>
      <c r="R621" s="36"/>
      <c r="S621" s="36"/>
      <c r="T621" s="36"/>
    </row>
    <row r="622" spans="1:20" ht="15.75">
      <c r="A622" s="13">
        <v>60448</v>
      </c>
      <c r="B622" s="44">
        <f t="shared" si="0"/>
        <v>30</v>
      </c>
      <c r="C622" s="35">
        <v>194.20500000000001</v>
      </c>
      <c r="D622" s="35">
        <v>267.46600000000001</v>
      </c>
      <c r="E622" s="41">
        <v>812.32899999999995</v>
      </c>
      <c r="F622" s="35">
        <v>1274</v>
      </c>
      <c r="G622" s="35">
        <v>50</v>
      </c>
      <c r="H622" s="43">
        <v>600</v>
      </c>
      <c r="I622" s="35">
        <v>695</v>
      </c>
      <c r="J622" s="35">
        <v>50</v>
      </c>
      <c r="K622" s="36"/>
      <c r="L622" s="36"/>
      <c r="M622" s="36"/>
      <c r="N622" s="36"/>
      <c r="O622" s="36"/>
      <c r="P622" s="36"/>
      <c r="Q622" s="36"/>
      <c r="R622" s="36"/>
      <c r="S622" s="36"/>
      <c r="T622" s="36"/>
    </row>
    <row r="623" spans="1:20" ht="15.75">
      <c r="A623" s="13">
        <v>60479</v>
      </c>
      <c r="B623" s="44">
        <f t="shared" si="0"/>
        <v>31</v>
      </c>
      <c r="C623" s="35">
        <v>194.20500000000001</v>
      </c>
      <c r="D623" s="35">
        <v>267.46600000000001</v>
      </c>
      <c r="E623" s="41">
        <v>812.32899999999995</v>
      </c>
      <c r="F623" s="35">
        <v>1274</v>
      </c>
      <c r="G623" s="35">
        <v>50</v>
      </c>
      <c r="H623" s="43">
        <v>600</v>
      </c>
      <c r="I623" s="35">
        <v>695</v>
      </c>
      <c r="J623" s="35">
        <v>0</v>
      </c>
      <c r="K623" s="36"/>
      <c r="L623" s="36"/>
      <c r="M623" s="36"/>
      <c r="N623" s="36"/>
      <c r="O623" s="36"/>
      <c r="P623" s="36"/>
      <c r="Q623" s="36"/>
      <c r="R623" s="36"/>
      <c r="S623" s="36"/>
      <c r="T623" s="36"/>
    </row>
    <row r="624" spans="1:20" ht="15.75">
      <c r="A624" s="13">
        <v>60510</v>
      </c>
      <c r="B624" s="44">
        <f t="shared" si="0"/>
        <v>31</v>
      </c>
      <c r="C624" s="35">
        <v>194.20500000000001</v>
      </c>
      <c r="D624" s="35">
        <v>267.46600000000001</v>
      </c>
      <c r="E624" s="41">
        <v>812.32899999999995</v>
      </c>
      <c r="F624" s="35">
        <v>1274</v>
      </c>
      <c r="G624" s="35">
        <v>50</v>
      </c>
      <c r="H624" s="43">
        <v>600</v>
      </c>
      <c r="I624" s="35">
        <v>695</v>
      </c>
      <c r="J624" s="35">
        <v>0</v>
      </c>
      <c r="K624" s="36"/>
      <c r="L624" s="36"/>
      <c r="M624" s="36"/>
      <c r="N624" s="36"/>
      <c r="O624" s="36"/>
      <c r="P624" s="36"/>
      <c r="Q624" s="36"/>
      <c r="R624" s="36"/>
      <c r="S624" s="36"/>
      <c r="T624" s="36"/>
    </row>
    <row r="625" spans="1:20" ht="15.75">
      <c r="A625" s="13">
        <v>60540</v>
      </c>
      <c r="B625" s="44">
        <f t="shared" si="0"/>
        <v>30</v>
      </c>
      <c r="C625" s="35">
        <v>194.20500000000001</v>
      </c>
      <c r="D625" s="35">
        <v>267.46600000000001</v>
      </c>
      <c r="E625" s="41">
        <v>812.32899999999995</v>
      </c>
      <c r="F625" s="35">
        <v>1274</v>
      </c>
      <c r="G625" s="35">
        <v>50</v>
      </c>
      <c r="H625" s="43">
        <v>600</v>
      </c>
      <c r="I625" s="35">
        <v>695</v>
      </c>
      <c r="J625" s="35">
        <v>0</v>
      </c>
      <c r="K625" s="36"/>
      <c r="L625" s="36"/>
      <c r="M625" s="36"/>
      <c r="N625" s="36"/>
      <c r="O625" s="36"/>
      <c r="P625" s="36"/>
      <c r="Q625" s="36"/>
      <c r="R625" s="36"/>
      <c r="S625" s="36"/>
      <c r="T625" s="36"/>
    </row>
    <row r="626" spans="1:20" ht="15.75">
      <c r="A626" s="13">
        <v>60571</v>
      </c>
      <c r="B626" s="44">
        <f t="shared" si="0"/>
        <v>31</v>
      </c>
      <c r="C626" s="35">
        <v>131.881</v>
      </c>
      <c r="D626" s="35">
        <v>277.16699999999997</v>
      </c>
      <c r="E626" s="41">
        <v>829.952</v>
      </c>
      <c r="F626" s="35">
        <v>1239</v>
      </c>
      <c r="G626" s="35">
        <v>75</v>
      </c>
      <c r="H626" s="43">
        <v>600</v>
      </c>
      <c r="I626" s="35">
        <v>695</v>
      </c>
      <c r="J626" s="35">
        <v>0</v>
      </c>
      <c r="K626" s="36"/>
      <c r="L626" s="36"/>
      <c r="M626" s="36"/>
      <c r="N626" s="36"/>
      <c r="O626" s="36"/>
      <c r="P626" s="36"/>
      <c r="Q626" s="36"/>
      <c r="R626" s="36"/>
      <c r="S626" s="36"/>
      <c r="T626" s="36"/>
    </row>
    <row r="627" spans="1:20" ht="15.75">
      <c r="A627" s="13">
        <v>60601</v>
      </c>
      <c r="B627" s="44">
        <f t="shared" si="0"/>
        <v>30</v>
      </c>
      <c r="C627" s="35">
        <v>122.58</v>
      </c>
      <c r="D627" s="35">
        <v>297.94099999999997</v>
      </c>
      <c r="E627" s="41">
        <v>729.47900000000004</v>
      </c>
      <c r="F627" s="35">
        <v>1150</v>
      </c>
      <c r="G627" s="35">
        <v>100</v>
      </c>
      <c r="H627" s="43">
        <v>600</v>
      </c>
      <c r="I627" s="35">
        <v>695</v>
      </c>
      <c r="J627" s="35">
        <v>50</v>
      </c>
      <c r="K627" s="36"/>
      <c r="L627" s="36"/>
      <c r="M627" s="36"/>
      <c r="N627" s="36"/>
      <c r="O627" s="36"/>
      <c r="P627" s="36"/>
      <c r="Q627" s="36"/>
      <c r="R627" s="36"/>
      <c r="S627" s="36"/>
      <c r="T627" s="36"/>
    </row>
    <row r="628" spans="1:20" ht="15.75">
      <c r="A628" s="13">
        <v>60632</v>
      </c>
      <c r="B628" s="44">
        <f t="shared" si="0"/>
        <v>31</v>
      </c>
      <c r="C628" s="35">
        <v>122.58</v>
      </c>
      <c r="D628" s="35">
        <v>297.94099999999997</v>
      </c>
      <c r="E628" s="41">
        <v>729.47900000000004</v>
      </c>
      <c r="F628" s="35">
        <v>1150</v>
      </c>
      <c r="G628" s="35">
        <v>100</v>
      </c>
      <c r="H628" s="43">
        <v>600</v>
      </c>
      <c r="I628" s="35">
        <v>695</v>
      </c>
      <c r="J628" s="35">
        <v>50</v>
      </c>
      <c r="K628" s="36"/>
      <c r="L628" s="36"/>
      <c r="M628" s="36"/>
      <c r="N628" s="36"/>
      <c r="O628" s="36"/>
      <c r="P628" s="36"/>
      <c r="Q628" s="36"/>
      <c r="R628" s="36"/>
      <c r="S628" s="36"/>
      <c r="T628" s="36"/>
    </row>
    <row r="629" spans="1:20" ht="15.75">
      <c r="A629" s="13">
        <v>60663</v>
      </c>
      <c r="B629" s="44">
        <f t="shared" si="0"/>
        <v>31</v>
      </c>
      <c r="C629" s="35">
        <v>122.58</v>
      </c>
      <c r="D629" s="35">
        <v>297.94099999999997</v>
      </c>
      <c r="E629" s="41">
        <v>729.47900000000004</v>
      </c>
      <c r="F629" s="35">
        <v>1150</v>
      </c>
      <c r="G629" s="35">
        <v>100</v>
      </c>
      <c r="H629" s="43">
        <v>600</v>
      </c>
      <c r="I629" s="35">
        <v>695</v>
      </c>
      <c r="J629" s="35">
        <v>50</v>
      </c>
      <c r="K629" s="36"/>
      <c r="L629" s="36"/>
      <c r="M629" s="36"/>
      <c r="N629" s="36"/>
      <c r="O629" s="36"/>
      <c r="P629" s="36"/>
      <c r="Q629" s="36"/>
      <c r="R629" s="36"/>
      <c r="S629" s="36"/>
      <c r="T629" s="36"/>
    </row>
    <row r="630" spans="1:20" ht="15.75">
      <c r="A630" s="13">
        <v>60691</v>
      </c>
      <c r="B630" s="44">
        <f t="shared" si="0"/>
        <v>28</v>
      </c>
      <c r="C630" s="35">
        <v>122.58</v>
      </c>
      <c r="D630" s="35">
        <v>297.94099999999997</v>
      </c>
      <c r="E630" s="41">
        <v>729.47900000000004</v>
      </c>
      <c r="F630" s="35">
        <v>1150</v>
      </c>
      <c r="G630" s="35">
        <v>100</v>
      </c>
      <c r="H630" s="43">
        <v>600</v>
      </c>
      <c r="I630" s="35">
        <v>695</v>
      </c>
      <c r="J630" s="35">
        <v>50</v>
      </c>
      <c r="K630" s="36"/>
      <c r="L630" s="36"/>
      <c r="M630" s="36"/>
      <c r="N630" s="36"/>
      <c r="O630" s="36"/>
      <c r="P630" s="36"/>
      <c r="Q630" s="36"/>
      <c r="R630" s="36"/>
      <c r="S630" s="36"/>
      <c r="T630" s="36"/>
    </row>
    <row r="631" spans="1:20" ht="15.75">
      <c r="A631" s="13">
        <v>60722</v>
      </c>
      <c r="B631" s="44">
        <f t="shared" si="0"/>
        <v>31</v>
      </c>
      <c r="C631" s="35">
        <v>122.58</v>
      </c>
      <c r="D631" s="35">
        <v>297.94099999999997</v>
      </c>
      <c r="E631" s="41">
        <v>729.47900000000004</v>
      </c>
      <c r="F631" s="35">
        <v>1150</v>
      </c>
      <c r="G631" s="35">
        <v>100</v>
      </c>
      <c r="H631" s="43">
        <v>600</v>
      </c>
      <c r="I631" s="35">
        <v>695</v>
      </c>
      <c r="J631" s="35">
        <v>50</v>
      </c>
      <c r="K631" s="36"/>
      <c r="L631" s="36"/>
      <c r="M631" s="36"/>
      <c r="N631" s="36"/>
      <c r="O631" s="36"/>
      <c r="P631" s="36"/>
      <c r="Q631" s="36"/>
      <c r="R631" s="36"/>
      <c r="S631" s="36"/>
      <c r="T631" s="36"/>
    </row>
    <row r="632" spans="1:20" ht="15.75">
      <c r="A632" s="13">
        <v>60752</v>
      </c>
      <c r="B632" s="44">
        <f t="shared" si="0"/>
        <v>30</v>
      </c>
      <c r="C632" s="35">
        <v>141.29300000000001</v>
      </c>
      <c r="D632" s="35">
        <v>267.99299999999999</v>
      </c>
      <c r="E632" s="41">
        <v>829.71400000000006</v>
      </c>
      <c r="F632" s="35">
        <v>1239</v>
      </c>
      <c r="G632" s="35">
        <v>100</v>
      </c>
      <c r="H632" s="43">
        <v>600</v>
      </c>
      <c r="I632" s="35">
        <v>695</v>
      </c>
      <c r="J632" s="35">
        <v>50</v>
      </c>
      <c r="K632" s="36"/>
      <c r="L632" s="36"/>
      <c r="M632" s="36"/>
      <c r="N632" s="36"/>
      <c r="O632" s="36"/>
      <c r="P632" s="36"/>
      <c r="Q632" s="36"/>
      <c r="R632" s="36"/>
      <c r="S632" s="36"/>
      <c r="T632" s="36"/>
    </row>
    <row r="633" spans="1:20" ht="15.75">
      <c r="A633" s="13">
        <v>60783</v>
      </c>
      <c r="B633" s="44">
        <f t="shared" si="0"/>
        <v>31</v>
      </c>
      <c r="C633" s="35">
        <v>194.20500000000001</v>
      </c>
      <c r="D633" s="35">
        <v>267.46600000000001</v>
      </c>
      <c r="E633" s="41">
        <v>812.32899999999995</v>
      </c>
      <c r="F633" s="35">
        <v>1274</v>
      </c>
      <c r="G633" s="35">
        <v>75</v>
      </c>
      <c r="H633" s="43">
        <v>600</v>
      </c>
      <c r="I633" s="35">
        <v>695</v>
      </c>
      <c r="J633" s="35">
        <v>50</v>
      </c>
      <c r="K633" s="36"/>
      <c r="L633" s="36"/>
      <c r="M633" s="36"/>
      <c r="N633" s="36"/>
      <c r="O633" s="36"/>
      <c r="P633" s="36"/>
      <c r="Q633" s="36"/>
      <c r="R633" s="36"/>
      <c r="S633" s="36"/>
      <c r="T633" s="36"/>
    </row>
    <row r="634" spans="1:20" ht="15.75">
      <c r="A634" s="13">
        <v>60813</v>
      </c>
      <c r="B634" s="44">
        <f t="shared" si="0"/>
        <v>30</v>
      </c>
      <c r="C634" s="35">
        <v>194.20500000000001</v>
      </c>
      <c r="D634" s="35">
        <v>267.46600000000001</v>
      </c>
      <c r="E634" s="41">
        <v>812.32899999999995</v>
      </c>
      <c r="F634" s="35">
        <v>1274</v>
      </c>
      <c r="G634" s="35">
        <v>50</v>
      </c>
      <c r="H634" s="43">
        <v>600</v>
      </c>
      <c r="I634" s="35">
        <v>695</v>
      </c>
      <c r="J634" s="35">
        <v>50</v>
      </c>
      <c r="K634" s="36"/>
      <c r="L634" s="36"/>
      <c r="M634" s="36"/>
      <c r="N634" s="36"/>
      <c r="O634" s="36"/>
      <c r="P634" s="36"/>
      <c r="Q634" s="36"/>
      <c r="R634" s="36"/>
      <c r="S634" s="36"/>
      <c r="T634" s="36"/>
    </row>
    <row r="635" spans="1:20" ht="15.75">
      <c r="A635" s="13">
        <v>60844</v>
      </c>
      <c r="B635" s="44">
        <f t="shared" si="0"/>
        <v>31</v>
      </c>
      <c r="C635" s="35">
        <v>194.20500000000001</v>
      </c>
      <c r="D635" s="35">
        <v>267.46600000000001</v>
      </c>
      <c r="E635" s="41">
        <v>812.32899999999995</v>
      </c>
      <c r="F635" s="35">
        <v>1274</v>
      </c>
      <c r="G635" s="35">
        <v>50</v>
      </c>
      <c r="H635" s="43">
        <v>600</v>
      </c>
      <c r="I635" s="35">
        <v>695</v>
      </c>
      <c r="J635" s="35">
        <v>0</v>
      </c>
      <c r="K635" s="36"/>
      <c r="L635" s="36"/>
      <c r="M635" s="36"/>
      <c r="N635" s="36"/>
      <c r="O635" s="36"/>
      <c r="P635" s="36"/>
      <c r="Q635" s="36"/>
      <c r="R635" s="36"/>
      <c r="S635" s="36"/>
      <c r="T635" s="36"/>
    </row>
    <row r="636" spans="1:20" ht="15.75">
      <c r="A636" s="13">
        <v>60875</v>
      </c>
      <c r="B636" s="44">
        <f t="shared" si="0"/>
        <v>31</v>
      </c>
      <c r="C636" s="35">
        <v>194.20500000000001</v>
      </c>
      <c r="D636" s="35">
        <v>267.46600000000001</v>
      </c>
      <c r="E636" s="41">
        <v>812.32899999999995</v>
      </c>
      <c r="F636" s="35">
        <v>1274</v>
      </c>
      <c r="G636" s="35">
        <v>50</v>
      </c>
      <c r="H636" s="43">
        <v>600</v>
      </c>
      <c r="I636" s="35">
        <v>695</v>
      </c>
      <c r="J636" s="35">
        <v>0</v>
      </c>
      <c r="K636" s="36"/>
      <c r="L636" s="36"/>
      <c r="M636" s="36"/>
      <c r="N636" s="36"/>
      <c r="O636" s="36"/>
      <c r="P636" s="36"/>
      <c r="Q636" s="36"/>
      <c r="R636" s="36"/>
      <c r="S636" s="36"/>
      <c r="T636" s="36"/>
    </row>
    <row r="637" spans="1:20" ht="15.75">
      <c r="A637" s="13">
        <v>60905</v>
      </c>
      <c r="B637" s="44">
        <f t="shared" si="0"/>
        <v>30</v>
      </c>
      <c r="C637" s="35">
        <v>194.20500000000001</v>
      </c>
      <c r="D637" s="35">
        <v>267.46600000000001</v>
      </c>
      <c r="E637" s="41">
        <v>812.32899999999995</v>
      </c>
      <c r="F637" s="35">
        <v>1274</v>
      </c>
      <c r="G637" s="35">
        <v>50</v>
      </c>
      <c r="H637" s="43">
        <v>600</v>
      </c>
      <c r="I637" s="35">
        <v>695</v>
      </c>
      <c r="J637" s="35">
        <v>0</v>
      </c>
      <c r="K637" s="36"/>
      <c r="L637" s="36"/>
      <c r="M637" s="36"/>
      <c r="N637" s="36"/>
      <c r="O637" s="36"/>
      <c r="P637" s="36"/>
      <c r="Q637" s="36"/>
      <c r="R637" s="36"/>
      <c r="S637" s="36"/>
      <c r="T637" s="36"/>
    </row>
    <row r="638" spans="1:20" ht="15.75">
      <c r="A638" s="13">
        <v>60936</v>
      </c>
      <c r="B638" s="44">
        <f t="shared" si="0"/>
        <v>31</v>
      </c>
      <c r="C638" s="35">
        <v>131.881</v>
      </c>
      <c r="D638" s="35">
        <v>277.16699999999997</v>
      </c>
      <c r="E638" s="41">
        <v>829.952</v>
      </c>
      <c r="F638" s="35">
        <v>1239</v>
      </c>
      <c r="G638" s="35">
        <v>75</v>
      </c>
      <c r="H638" s="43">
        <v>600</v>
      </c>
      <c r="I638" s="35">
        <v>695</v>
      </c>
      <c r="J638" s="35">
        <v>0</v>
      </c>
      <c r="K638" s="36"/>
      <c r="L638" s="36"/>
      <c r="M638" s="36"/>
      <c r="N638" s="36"/>
      <c r="O638" s="36"/>
      <c r="P638" s="36"/>
      <c r="Q638" s="36"/>
      <c r="R638" s="36"/>
      <c r="S638" s="36"/>
      <c r="T638" s="36"/>
    </row>
    <row r="639" spans="1:20" ht="15.75">
      <c r="A639" s="13">
        <v>60966</v>
      </c>
      <c r="B639" s="44">
        <f t="shared" si="0"/>
        <v>30</v>
      </c>
      <c r="C639" s="35">
        <v>122.58</v>
      </c>
      <c r="D639" s="35">
        <v>297.94099999999997</v>
      </c>
      <c r="E639" s="41">
        <v>729.47900000000004</v>
      </c>
      <c r="F639" s="35">
        <v>1150</v>
      </c>
      <c r="G639" s="35">
        <v>100</v>
      </c>
      <c r="H639" s="43">
        <v>600</v>
      </c>
      <c r="I639" s="35">
        <v>695</v>
      </c>
      <c r="J639" s="35">
        <v>50</v>
      </c>
      <c r="K639" s="36"/>
      <c r="L639" s="36"/>
      <c r="M639" s="36"/>
      <c r="N639" s="36"/>
      <c r="O639" s="36"/>
      <c r="P639" s="36"/>
      <c r="Q639" s="36"/>
      <c r="R639" s="36"/>
      <c r="S639" s="36"/>
      <c r="T639" s="36"/>
    </row>
    <row r="640" spans="1:20" ht="15.75">
      <c r="A640" s="13">
        <v>60997</v>
      </c>
      <c r="B640" s="44">
        <f t="shared" si="0"/>
        <v>31</v>
      </c>
      <c r="C640" s="35">
        <v>122.58</v>
      </c>
      <c r="D640" s="35">
        <v>297.94099999999997</v>
      </c>
      <c r="E640" s="41">
        <v>729.47900000000004</v>
      </c>
      <c r="F640" s="35">
        <v>1150</v>
      </c>
      <c r="G640" s="35">
        <v>100</v>
      </c>
      <c r="H640" s="43">
        <v>600</v>
      </c>
      <c r="I640" s="35">
        <v>695</v>
      </c>
      <c r="J640" s="35">
        <v>50</v>
      </c>
      <c r="K640" s="36"/>
      <c r="L640" s="36"/>
      <c r="M640" s="36"/>
      <c r="N640" s="36"/>
      <c r="O640" s="36"/>
      <c r="P640" s="36"/>
      <c r="Q640" s="36"/>
      <c r="R640" s="36"/>
      <c r="S640" s="36"/>
      <c r="T640" s="36"/>
    </row>
    <row r="641" spans="1:20" ht="15.75">
      <c r="A641" s="13">
        <v>61028</v>
      </c>
      <c r="B641" s="44">
        <f t="shared" si="0"/>
        <v>31</v>
      </c>
      <c r="C641" s="35">
        <v>122.58</v>
      </c>
      <c r="D641" s="35">
        <v>297.94099999999997</v>
      </c>
      <c r="E641" s="41">
        <v>729.47900000000004</v>
      </c>
      <c r="F641" s="35">
        <v>1150</v>
      </c>
      <c r="G641" s="35">
        <v>100</v>
      </c>
      <c r="H641" s="43">
        <v>600</v>
      </c>
      <c r="I641" s="35">
        <v>695</v>
      </c>
      <c r="J641" s="35">
        <v>50</v>
      </c>
      <c r="K641" s="36"/>
      <c r="L641" s="36"/>
      <c r="M641" s="36"/>
      <c r="N641" s="36"/>
      <c r="O641" s="36"/>
      <c r="P641" s="36"/>
      <c r="Q641" s="36"/>
      <c r="R641" s="36"/>
      <c r="S641" s="36"/>
      <c r="T641" s="36"/>
    </row>
    <row r="642" spans="1:20" ht="15.75">
      <c r="A642" s="13">
        <v>61056</v>
      </c>
      <c r="B642" s="44">
        <f t="shared" si="0"/>
        <v>28</v>
      </c>
      <c r="C642" s="35">
        <v>122.58</v>
      </c>
      <c r="D642" s="35">
        <v>297.94099999999997</v>
      </c>
      <c r="E642" s="41">
        <v>729.47900000000004</v>
      </c>
      <c r="F642" s="35">
        <v>1150</v>
      </c>
      <c r="G642" s="35">
        <v>100</v>
      </c>
      <c r="H642" s="43">
        <v>600</v>
      </c>
      <c r="I642" s="35">
        <v>695</v>
      </c>
      <c r="J642" s="35">
        <v>50</v>
      </c>
      <c r="K642" s="36"/>
      <c r="L642" s="36"/>
      <c r="M642" s="36"/>
      <c r="N642" s="36"/>
      <c r="O642" s="36"/>
      <c r="P642" s="36"/>
      <c r="Q642" s="36"/>
      <c r="R642" s="36"/>
      <c r="S642" s="36"/>
      <c r="T642" s="36"/>
    </row>
    <row r="643" spans="1:20" ht="15.75">
      <c r="A643" s="13">
        <v>61087</v>
      </c>
      <c r="B643" s="44">
        <f t="shared" si="0"/>
        <v>31</v>
      </c>
      <c r="C643" s="35">
        <v>122.58</v>
      </c>
      <c r="D643" s="35">
        <v>297.94099999999997</v>
      </c>
      <c r="E643" s="41">
        <v>729.47900000000004</v>
      </c>
      <c r="F643" s="35">
        <v>1150</v>
      </c>
      <c r="G643" s="35">
        <v>100</v>
      </c>
      <c r="H643" s="43">
        <v>600</v>
      </c>
      <c r="I643" s="35">
        <v>695</v>
      </c>
      <c r="J643" s="35">
        <v>50</v>
      </c>
      <c r="K643" s="36"/>
      <c r="L643" s="36"/>
      <c r="M643" s="36"/>
      <c r="N643" s="36"/>
      <c r="O643" s="36"/>
      <c r="P643" s="36"/>
      <c r="Q643" s="36"/>
      <c r="R643" s="36"/>
      <c r="S643" s="36"/>
      <c r="T643" s="36"/>
    </row>
    <row r="644" spans="1:20" ht="15.75">
      <c r="A644" s="13">
        <v>61117</v>
      </c>
      <c r="B644" s="44">
        <f t="shared" si="0"/>
        <v>30</v>
      </c>
      <c r="C644" s="35">
        <v>141.29300000000001</v>
      </c>
      <c r="D644" s="35">
        <v>267.99299999999999</v>
      </c>
      <c r="E644" s="41">
        <v>829.71400000000006</v>
      </c>
      <c r="F644" s="35">
        <v>1239</v>
      </c>
      <c r="G644" s="35">
        <v>100</v>
      </c>
      <c r="H644" s="43">
        <v>600</v>
      </c>
      <c r="I644" s="35">
        <v>695</v>
      </c>
      <c r="J644" s="35">
        <v>50</v>
      </c>
      <c r="K644" s="36"/>
      <c r="L644" s="36"/>
      <c r="M644" s="36"/>
      <c r="N644" s="36"/>
      <c r="O644" s="36"/>
      <c r="P644" s="36"/>
      <c r="Q644" s="36"/>
      <c r="R644" s="36"/>
      <c r="S644" s="36"/>
      <c r="T644" s="36"/>
    </row>
    <row r="645" spans="1:20" ht="15.75">
      <c r="A645" s="13">
        <v>61148</v>
      </c>
      <c r="B645" s="44">
        <f t="shared" ref="B645:B708" si="1">EOMONTH(A645,0)-EOMONTH(A645,-1)</f>
        <v>31</v>
      </c>
      <c r="C645" s="35">
        <v>194.20500000000001</v>
      </c>
      <c r="D645" s="35">
        <v>267.46600000000001</v>
      </c>
      <c r="E645" s="41">
        <v>812.32899999999995</v>
      </c>
      <c r="F645" s="35">
        <v>1274</v>
      </c>
      <c r="G645" s="35">
        <v>75</v>
      </c>
      <c r="H645" s="43">
        <v>600</v>
      </c>
      <c r="I645" s="35">
        <v>695</v>
      </c>
      <c r="J645" s="35">
        <v>50</v>
      </c>
      <c r="K645" s="36"/>
      <c r="L645" s="36"/>
      <c r="M645" s="36"/>
      <c r="N645" s="36"/>
      <c r="O645" s="36"/>
      <c r="P645" s="36"/>
      <c r="Q645" s="36"/>
      <c r="R645" s="36"/>
      <c r="S645" s="36"/>
      <c r="T645" s="36"/>
    </row>
    <row r="646" spans="1:20" ht="15.75">
      <c r="A646" s="13">
        <v>61178</v>
      </c>
      <c r="B646" s="44">
        <f t="shared" si="1"/>
        <v>30</v>
      </c>
      <c r="C646" s="35">
        <v>194.20500000000001</v>
      </c>
      <c r="D646" s="35">
        <v>267.46600000000001</v>
      </c>
      <c r="E646" s="41">
        <v>812.32899999999995</v>
      </c>
      <c r="F646" s="35">
        <v>1274</v>
      </c>
      <c r="G646" s="35">
        <v>50</v>
      </c>
      <c r="H646" s="43">
        <v>600</v>
      </c>
      <c r="I646" s="35">
        <v>695</v>
      </c>
      <c r="J646" s="35">
        <v>50</v>
      </c>
      <c r="K646" s="36"/>
      <c r="L646" s="36"/>
      <c r="M646" s="36"/>
      <c r="N646" s="36"/>
      <c r="O646" s="36"/>
      <c r="P646" s="36"/>
      <c r="Q646" s="36"/>
      <c r="R646" s="36"/>
      <c r="S646" s="36"/>
      <c r="T646" s="36"/>
    </row>
    <row r="647" spans="1:20" ht="15.75">
      <c r="A647" s="13">
        <v>61209</v>
      </c>
      <c r="B647" s="44">
        <f t="shared" si="1"/>
        <v>31</v>
      </c>
      <c r="C647" s="35">
        <v>194.20500000000001</v>
      </c>
      <c r="D647" s="35">
        <v>267.46600000000001</v>
      </c>
      <c r="E647" s="41">
        <v>812.32899999999995</v>
      </c>
      <c r="F647" s="35">
        <v>1274</v>
      </c>
      <c r="G647" s="35">
        <v>50</v>
      </c>
      <c r="H647" s="43">
        <v>600</v>
      </c>
      <c r="I647" s="35">
        <v>695</v>
      </c>
      <c r="J647" s="35">
        <v>0</v>
      </c>
      <c r="K647" s="36"/>
      <c r="L647" s="36"/>
      <c r="M647" s="36"/>
      <c r="N647" s="36"/>
      <c r="O647" s="36"/>
      <c r="P647" s="36"/>
      <c r="Q647" s="36"/>
      <c r="R647" s="36"/>
      <c r="S647" s="36"/>
      <c r="T647" s="36"/>
    </row>
    <row r="648" spans="1:20" ht="15.75">
      <c r="A648" s="13">
        <v>61240</v>
      </c>
      <c r="B648" s="44">
        <f t="shared" si="1"/>
        <v>31</v>
      </c>
      <c r="C648" s="35">
        <v>194.20500000000001</v>
      </c>
      <c r="D648" s="35">
        <v>267.46600000000001</v>
      </c>
      <c r="E648" s="41">
        <v>812.32899999999995</v>
      </c>
      <c r="F648" s="35">
        <v>1274</v>
      </c>
      <c r="G648" s="35">
        <v>50</v>
      </c>
      <c r="H648" s="43">
        <v>600</v>
      </c>
      <c r="I648" s="35">
        <v>695</v>
      </c>
      <c r="J648" s="35">
        <v>0</v>
      </c>
      <c r="K648" s="36"/>
      <c r="L648" s="36"/>
      <c r="M648" s="36"/>
      <c r="N648" s="36"/>
      <c r="O648" s="36"/>
      <c r="P648" s="36"/>
      <c r="Q648" s="36"/>
      <c r="R648" s="36"/>
      <c r="S648" s="36"/>
      <c r="T648" s="36"/>
    </row>
    <row r="649" spans="1:20" ht="15.75">
      <c r="A649" s="13">
        <v>61270</v>
      </c>
      <c r="B649" s="44">
        <f t="shared" si="1"/>
        <v>30</v>
      </c>
      <c r="C649" s="35">
        <v>194.20500000000001</v>
      </c>
      <c r="D649" s="35">
        <v>267.46600000000001</v>
      </c>
      <c r="E649" s="41">
        <v>812.32899999999995</v>
      </c>
      <c r="F649" s="35">
        <v>1274</v>
      </c>
      <c r="G649" s="35">
        <v>50</v>
      </c>
      <c r="H649" s="43">
        <v>600</v>
      </c>
      <c r="I649" s="35">
        <v>695</v>
      </c>
      <c r="J649" s="35">
        <v>0</v>
      </c>
      <c r="K649" s="36"/>
      <c r="L649" s="36"/>
      <c r="M649" s="36"/>
      <c r="N649" s="36"/>
      <c r="O649" s="36"/>
      <c r="P649" s="36"/>
      <c r="Q649" s="36"/>
      <c r="R649" s="36"/>
      <c r="S649" s="36"/>
      <c r="T649" s="36"/>
    </row>
    <row r="650" spans="1:20" ht="15.75">
      <c r="A650" s="13">
        <v>61301</v>
      </c>
      <c r="B650" s="44">
        <f t="shared" si="1"/>
        <v>31</v>
      </c>
      <c r="C650" s="35">
        <v>131.881</v>
      </c>
      <c r="D650" s="35">
        <v>277.16699999999997</v>
      </c>
      <c r="E650" s="41">
        <v>829.952</v>
      </c>
      <c r="F650" s="35">
        <v>1239</v>
      </c>
      <c r="G650" s="35">
        <v>75</v>
      </c>
      <c r="H650" s="43">
        <v>600</v>
      </c>
      <c r="I650" s="35">
        <v>695</v>
      </c>
      <c r="J650" s="35">
        <v>0</v>
      </c>
      <c r="K650" s="36"/>
      <c r="L650" s="36"/>
      <c r="M650" s="36"/>
      <c r="N650" s="36"/>
      <c r="O650" s="36"/>
      <c r="P650" s="36"/>
      <c r="Q650" s="36"/>
      <c r="R650" s="36"/>
      <c r="S650" s="36"/>
      <c r="T650" s="36"/>
    </row>
    <row r="651" spans="1:20" ht="15.75">
      <c r="A651" s="13">
        <v>61331</v>
      </c>
      <c r="B651" s="44">
        <f t="shared" si="1"/>
        <v>30</v>
      </c>
      <c r="C651" s="35">
        <v>122.58</v>
      </c>
      <c r="D651" s="35">
        <v>297.94099999999997</v>
      </c>
      <c r="E651" s="41">
        <v>729.47900000000004</v>
      </c>
      <c r="F651" s="35">
        <v>1150</v>
      </c>
      <c r="G651" s="35">
        <v>100</v>
      </c>
      <c r="H651" s="43">
        <v>600</v>
      </c>
      <c r="I651" s="35">
        <v>695</v>
      </c>
      <c r="J651" s="35">
        <v>50</v>
      </c>
      <c r="K651" s="36"/>
      <c r="L651" s="36"/>
      <c r="M651" s="36"/>
      <c r="N651" s="36"/>
      <c r="O651" s="36"/>
      <c r="P651" s="36"/>
      <c r="Q651" s="36"/>
      <c r="R651" s="36"/>
      <c r="S651" s="36"/>
      <c r="T651" s="36"/>
    </row>
    <row r="652" spans="1:20" ht="15.75">
      <c r="A652" s="13">
        <v>61362</v>
      </c>
      <c r="B652" s="44">
        <f t="shared" si="1"/>
        <v>31</v>
      </c>
      <c r="C652" s="35">
        <v>122.58</v>
      </c>
      <c r="D652" s="35">
        <v>297.94099999999997</v>
      </c>
      <c r="E652" s="41">
        <v>729.47900000000004</v>
      </c>
      <c r="F652" s="35">
        <v>1150</v>
      </c>
      <c r="G652" s="35">
        <v>100</v>
      </c>
      <c r="H652" s="43">
        <v>600</v>
      </c>
      <c r="I652" s="35">
        <v>695</v>
      </c>
      <c r="J652" s="35">
        <v>50</v>
      </c>
      <c r="K652" s="36"/>
      <c r="L652" s="36"/>
      <c r="M652" s="36"/>
      <c r="N652" s="36"/>
      <c r="O652" s="36"/>
      <c r="P652" s="36"/>
      <c r="Q652" s="36"/>
      <c r="R652" s="36"/>
      <c r="S652" s="36"/>
      <c r="T652" s="36"/>
    </row>
    <row r="653" spans="1:20" ht="15.75">
      <c r="A653" s="13">
        <v>61393</v>
      </c>
      <c r="B653" s="44">
        <f t="shared" si="1"/>
        <v>31</v>
      </c>
      <c r="C653" s="35">
        <v>122.58</v>
      </c>
      <c r="D653" s="35">
        <v>297.94099999999997</v>
      </c>
      <c r="E653" s="41">
        <v>729.47900000000004</v>
      </c>
      <c r="F653" s="35">
        <v>1150</v>
      </c>
      <c r="G653" s="35">
        <v>100</v>
      </c>
      <c r="H653" s="43">
        <v>600</v>
      </c>
      <c r="I653" s="35">
        <v>695</v>
      </c>
      <c r="J653" s="35">
        <v>50</v>
      </c>
      <c r="K653" s="36"/>
      <c r="L653" s="36"/>
      <c r="M653" s="36"/>
      <c r="N653" s="36"/>
      <c r="O653" s="36"/>
      <c r="P653" s="36"/>
      <c r="Q653" s="36"/>
      <c r="R653" s="36"/>
      <c r="S653" s="36"/>
      <c r="T653" s="36"/>
    </row>
    <row r="654" spans="1:20" ht="15.75">
      <c r="A654" s="13">
        <v>61422</v>
      </c>
      <c r="B654" s="44">
        <f t="shared" si="1"/>
        <v>29</v>
      </c>
      <c r="C654" s="35">
        <v>122.58</v>
      </c>
      <c r="D654" s="35">
        <v>297.94099999999997</v>
      </c>
      <c r="E654" s="41">
        <v>729.47900000000004</v>
      </c>
      <c r="F654" s="35">
        <v>1150</v>
      </c>
      <c r="G654" s="35">
        <v>100</v>
      </c>
      <c r="H654" s="43">
        <v>600</v>
      </c>
      <c r="I654" s="35">
        <v>695</v>
      </c>
      <c r="J654" s="35">
        <v>50</v>
      </c>
      <c r="K654" s="36"/>
      <c r="L654" s="36"/>
      <c r="M654" s="36"/>
      <c r="N654" s="36"/>
      <c r="O654" s="36"/>
      <c r="P654" s="36"/>
      <c r="Q654" s="36"/>
      <c r="R654" s="36"/>
      <c r="S654" s="36"/>
      <c r="T654" s="36"/>
    </row>
    <row r="655" spans="1:20" ht="15.75">
      <c r="A655" s="13">
        <v>61453</v>
      </c>
      <c r="B655" s="44">
        <f t="shared" si="1"/>
        <v>31</v>
      </c>
      <c r="C655" s="35">
        <v>122.58</v>
      </c>
      <c r="D655" s="35">
        <v>297.94099999999997</v>
      </c>
      <c r="E655" s="41">
        <v>729.47900000000004</v>
      </c>
      <c r="F655" s="35">
        <v>1150</v>
      </c>
      <c r="G655" s="35">
        <v>100</v>
      </c>
      <c r="H655" s="43">
        <v>600</v>
      </c>
      <c r="I655" s="35">
        <v>695</v>
      </c>
      <c r="J655" s="35">
        <v>50</v>
      </c>
      <c r="K655" s="36"/>
      <c r="L655" s="36"/>
      <c r="M655" s="36"/>
      <c r="N655" s="36"/>
      <c r="O655" s="36"/>
      <c r="P655" s="36"/>
      <c r="Q655" s="36"/>
      <c r="R655" s="36"/>
      <c r="S655" s="36"/>
      <c r="T655" s="36"/>
    </row>
    <row r="656" spans="1:20" ht="15.75">
      <c r="A656" s="13">
        <v>61483</v>
      </c>
      <c r="B656" s="44">
        <f t="shared" si="1"/>
        <v>30</v>
      </c>
      <c r="C656" s="35">
        <v>141.29300000000001</v>
      </c>
      <c r="D656" s="35">
        <v>267.99299999999999</v>
      </c>
      <c r="E656" s="41">
        <v>829.71400000000006</v>
      </c>
      <c r="F656" s="35">
        <v>1239</v>
      </c>
      <c r="G656" s="35">
        <v>100</v>
      </c>
      <c r="H656" s="43">
        <v>600</v>
      </c>
      <c r="I656" s="35">
        <v>695</v>
      </c>
      <c r="J656" s="35">
        <v>50</v>
      </c>
      <c r="K656" s="36"/>
      <c r="L656" s="36"/>
      <c r="M656" s="36"/>
      <c r="N656" s="36"/>
      <c r="O656" s="36"/>
      <c r="P656" s="36"/>
      <c r="Q656" s="36"/>
      <c r="R656" s="36"/>
      <c r="S656" s="36"/>
      <c r="T656" s="36"/>
    </row>
    <row r="657" spans="1:20" ht="15.75">
      <c r="A657" s="13">
        <v>61514</v>
      </c>
      <c r="B657" s="44">
        <f t="shared" si="1"/>
        <v>31</v>
      </c>
      <c r="C657" s="35">
        <v>194.20500000000001</v>
      </c>
      <c r="D657" s="35">
        <v>267.46600000000001</v>
      </c>
      <c r="E657" s="41">
        <v>812.32899999999995</v>
      </c>
      <c r="F657" s="35">
        <v>1274</v>
      </c>
      <c r="G657" s="35">
        <v>75</v>
      </c>
      <c r="H657" s="43">
        <v>600</v>
      </c>
      <c r="I657" s="35">
        <v>695</v>
      </c>
      <c r="J657" s="35">
        <v>50</v>
      </c>
      <c r="K657" s="36"/>
      <c r="L657" s="36"/>
      <c r="M657" s="36"/>
      <c r="N657" s="36"/>
      <c r="O657" s="36"/>
      <c r="P657" s="36"/>
      <c r="Q657" s="36"/>
      <c r="R657" s="36"/>
      <c r="S657" s="36"/>
      <c r="T657" s="36"/>
    </row>
    <row r="658" spans="1:20" ht="15.75">
      <c r="A658" s="13">
        <v>61544</v>
      </c>
      <c r="B658" s="44">
        <f t="shared" si="1"/>
        <v>30</v>
      </c>
      <c r="C658" s="35">
        <v>194.20500000000001</v>
      </c>
      <c r="D658" s="35">
        <v>267.46600000000001</v>
      </c>
      <c r="E658" s="41">
        <v>812.32899999999995</v>
      </c>
      <c r="F658" s="35">
        <v>1274</v>
      </c>
      <c r="G658" s="35">
        <v>50</v>
      </c>
      <c r="H658" s="43">
        <v>600</v>
      </c>
      <c r="I658" s="35">
        <v>695</v>
      </c>
      <c r="J658" s="35">
        <v>50</v>
      </c>
      <c r="K658" s="36"/>
      <c r="L658" s="36"/>
      <c r="M658" s="36"/>
      <c r="N658" s="36"/>
      <c r="O658" s="36"/>
      <c r="P658" s="36"/>
      <c r="Q658" s="36"/>
      <c r="R658" s="36"/>
      <c r="S658" s="36"/>
      <c r="T658" s="36"/>
    </row>
    <row r="659" spans="1:20" ht="15.75">
      <c r="A659" s="13">
        <v>61575</v>
      </c>
      <c r="B659" s="44">
        <f t="shared" si="1"/>
        <v>31</v>
      </c>
      <c r="C659" s="35">
        <v>194.20500000000001</v>
      </c>
      <c r="D659" s="35">
        <v>267.46600000000001</v>
      </c>
      <c r="E659" s="41">
        <v>812.32899999999995</v>
      </c>
      <c r="F659" s="35">
        <v>1274</v>
      </c>
      <c r="G659" s="35">
        <v>50</v>
      </c>
      <c r="H659" s="43">
        <v>600</v>
      </c>
      <c r="I659" s="35">
        <v>695</v>
      </c>
      <c r="J659" s="35">
        <v>0</v>
      </c>
      <c r="K659" s="36"/>
      <c r="L659" s="36"/>
      <c r="M659" s="36"/>
      <c r="N659" s="36"/>
      <c r="O659" s="36"/>
      <c r="P659" s="36"/>
      <c r="Q659" s="36"/>
      <c r="R659" s="36"/>
      <c r="S659" s="36"/>
      <c r="T659" s="36"/>
    </row>
    <row r="660" spans="1:20" ht="15.75">
      <c r="A660" s="13">
        <v>61606</v>
      </c>
      <c r="B660" s="44">
        <f t="shared" si="1"/>
        <v>31</v>
      </c>
      <c r="C660" s="35">
        <v>194.20500000000001</v>
      </c>
      <c r="D660" s="35">
        <v>267.46600000000001</v>
      </c>
      <c r="E660" s="41">
        <v>812.32899999999995</v>
      </c>
      <c r="F660" s="35">
        <v>1274</v>
      </c>
      <c r="G660" s="35">
        <v>50</v>
      </c>
      <c r="H660" s="43">
        <v>600</v>
      </c>
      <c r="I660" s="35">
        <v>695</v>
      </c>
      <c r="J660" s="35">
        <v>0</v>
      </c>
      <c r="K660" s="36"/>
      <c r="L660" s="36"/>
      <c r="M660" s="36"/>
      <c r="N660" s="36"/>
      <c r="O660" s="36"/>
      <c r="P660" s="36"/>
      <c r="Q660" s="36"/>
      <c r="R660" s="36"/>
      <c r="S660" s="36"/>
      <c r="T660" s="36"/>
    </row>
    <row r="661" spans="1:20" ht="15.75">
      <c r="A661" s="13">
        <v>61636</v>
      </c>
      <c r="B661" s="44">
        <f t="shared" si="1"/>
        <v>30</v>
      </c>
      <c r="C661" s="35">
        <v>194.20500000000001</v>
      </c>
      <c r="D661" s="35">
        <v>267.46600000000001</v>
      </c>
      <c r="E661" s="41">
        <v>812.32899999999995</v>
      </c>
      <c r="F661" s="35">
        <v>1274</v>
      </c>
      <c r="G661" s="35">
        <v>50</v>
      </c>
      <c r="H661" s="43">
        <v>600</v>
      </c>
      <c r="I661" s="35">
        <v>695</v>
      </c>
      <c r="J661" s="35">
        <v>0</v>
      </c>
      <c r="K661" s="36"/>
      <c r="L661" s="36"/>
      <c r="M661" s="36"/>
      <c r="N661" s="36"/>
      <c r="O661" s="36"/>
      <c r="P661" s="36"/>
      <c r="Q661" s="36"/>
      <c r="R661" s="36"/>
      <c r="S661" s="36"/>
      <c r="T661" s="36"/>
    </row>
    <row r="662" spans="1:20" ht="15.75">
      <c r="A662" s="13">
        <v>61667</v>
      </c>
      <c r="B662" s="44">
        <f t="shared" si="1"/>
        <v>31</v>
      </c>
      <c r="C662" s="35">
        <v>131.881</v>
      </c>
      <c r="D662" s="35">
        <v>277.16699999999997</v>
      </c>
      <c r="E662" s="41">
        <v>829.952</v>
      </c>
      <c r="F662" s="35">
        <v>1239</v>
      </c>
      <c r="G662" s="35">
        <v>75</v>
      </c>
      <c r="H662" s="43">
        <v>600</v>
      </c>
      <c r="I662" s="35">
        <v>695</v>
      </c>
      <c r="J662" s="35">
        <v>0</v>
      </c>
      <c r="K662" s="36"/>
      <c r="L662" s="36"/>
      <c r="M662" s="36"/>
      <c r="N662" s="36"/>
      <c r="O662" s="36"/>
      <c r="P662" s="36"/>
      <c r="Q662" s="36"/>
      <c r="R662" s="36"/>
      <c r="S662" s="36"/>
      <c r="T662" s="36"/>
    </row>
    <row r="663" spans="1:20" ht="15.75">
      <c r="A663" s="13">
        <v>61697</v>
      </c>
      <c r="B663" s="44">
        <f t="shared" si="1"/>
        <v>30</v>
      </c>
      <c r="C663" s="35">
        <v>122.58</v>
      </c>
      <c r="D663" s="35">
        <v>297.94099999999997</v>
      </c>
      <c r="E663" s="41">
        <v>729.47900000000004</v>
      </c>
      <c r="F663" s="35">
        <v>1150</v>
      </c>
      <c r="G663" s="35">
        <v>100</v>
      </c>
      <c r="H663" s="43">
        <v>600</v>
      </c>
      <c r="I663" s="35">
        <v>695</v>
      </c>
      <c r="J663" s="35">
        <v>50</v>
      </c>
      <c r="K663" s="36"/>
      <c r="L663" s="36"/>
      <c r="M663" s="36"/>
      <c r="N663" s="36"/>
      <c r="O663" s="36"/>
      <c r="P663" s="36"/>
      <c r="Q663" s="36"/>
      <c r="R663" s="36"/>
      <c r="S663" s="36"/>
      <c r="T663" s="36"/>
    </row>
    <row r="664" spans="1:20" ht="15.75">
      <c r="A664" s="13">
        <v>61728</v>
      </c>
      <c r="B664" s="44">
        <f t="shared" si="1"/>
        <v>31</v>
      </c>
      <c r="C664" s="35">
        <v>122.58</v>
      </c>
      <c r="D664" s="35">
        <v>297.94099999999997</v>
      </c>
      <c r="E664" s="41">
        <v>729.47900000000004</v>
      </c>
      <c r="F664" s="35">
        <v>1150</v>
      </c>
      <c r="G664" s="35">
        <v>100</v>
      </c>
      <c r="H664" s="43">
        <v>600</v>
      </c>
      <c r="I664" s="35">
        <v>695</v>
      </c>
      <c r="J664" s="35">
        <v>50</v>
      </c>
      <c r="K664" s="36"/>
      <c r="L664" s="36"/>
      <c r="M664" s="36"/>
      <c r="N664" s="36"/>
      <c r="O664" s="36"/>
      <c r="P664" s="36"/>
      <c r="Q664" s="36"/>
      <c r="R664" s="36"/>
      <c r="S664" s="36"/>
      <c r="T664" s="36"/>
    </row>
    <row r="665" spans="1:20" ht="15.75">
      <c r="A665" s="13">
        <v>61759</v>
      </c>
      <c r="B665" s="44">
        <f t="shared" si="1"/>
        <v>31</v>
      </c>
      <c r="C665" s="35">
        <v>122.58</v>
      </c>
      <c r="D665" s="35">
        <v>297.94099999999997</v>
      </c>
      <c r="E665" s="41">
        <v>729.47900000000004</v>
      </c>
      <c r="F665" s="35">
        <v>1150</v>
      </c>
      <c r="G665" s="35">
        <v>100</v>
      </c>
      <c r="H665" s="43">
        <v>600</v>
      </c>
      <c r="I665" s="35">
        <v>695</v>
      </c>
      <c r="J665" s="35">
        <v>50</v>
      </c>
      <c r="K665" s="36"/>
      <c r="L665" s="36"/>
      <c r="M665" s="36"/>
      <c r="N665" s="36"/>
      <c r="O665" s="36"/>
      <c r="P665" s="36"/>
      <c r="Q665" s="36"/>
      <c r="R665" s="36"/>
      <c r="S665" s="36"/>
      <c r="T665" s="36"/>
    </row>
    <row r="666" spans="1:20" ht="15.75">
      <c r="A666" s="13">
        <v>61787</v>
      </c>
      <c r="B666" s="44">
        <f t="shared" si="1"/>
        <v>28</v>
      </c>
      <c r="C666" s="35">
        <v>122.58</v>
      </c>
      <c r="D666" s="35">
        <v>297.94099999999997</v>
      </c>
      <c r="E666" s="41">
        <v>729.47900000000004</v>
      </c>
      <c r="F666" s="35">
        <v>1150</v>
      </c>
      <c r="G666" s="35">
        <v>100</v>
      </c>
      <c r="H666" s="43">
        <v>600</v>
      </c>
      <c r="I666" s="35">
        <v>695</v>
      </c>
      <c r="J666" s="35">
        <v>50</v>
      </c>
      <c r="K666" s="36"/>
      <c r="L666" s="36"/>
      <c r="M666" s="36"/>
      <c r="N666" s="36"/>
      <c r="O666" s="36"/>
      <c r="P666" s="36"/>
      <c r="Q666" s="36"/>
      <c r="R666" s="36"/>
      <c r="S666" s="36"/>
      <c r="T666" s="36"/>
    </row>
    <row r="667" spans="1:20" ht="15.75">
      <c r="A667" s="13">
        <v>61818</v>
      </c>
      <c r="B667" s="44">
        <f t="shared" si="1"/>
        <v>31</v>
      </c>
      <c r="C667" s="35">
        <v>122.58</v>
      </c>
      <c r="D667" s="35">
        <v>297.94099999999997</v>
      </c>
      <c r="E667" s="41">
        <v>729.47900000000004</v>
      </c>
      <c r="F667" s="35">
        <v>1150</v>
      </c>
      <c r="G667" s="35">
        <v>100</v>
      </c>
      <c r="H667" s="43">
        <v>600</v>
      </c>
      <c r="I667" s="35">
        <v>695</v>
      </c>
      <c r="J667" s="35">
        <v>50</v>
      </c>
      <c r="K667" s="36"/>
      <c r="L667" s="36"/>
      <c r="M667" s="36"/>
      <c r="N667" s="36"/>
      <c r="O667" s="36"/>
      <c r="P667" s="36"/>
      <c r="Q667" s="36"/>
      <c r="R667" s="36"/>
      <c r="S667" s="36"/>
      <c r="T667" s="36"/>
    </row>
    <row r="668" spans="1:20" ht="15.75">
      <c r="A668" s="13">
        <v>61848</v>
      </c>
      <c r="B668" s="44">
        <f t="shared" si="1"/>
        <v>30</v>
      </c>
      <c r="C668" s="35">
        <v>141.29300000000001</v>
      </c>
      <c r="D668" s="35">
        <v>267.99299999999999</v>
      </c>
      <c r="E668" s="41">
        <v>829.71400000000006</v>
      </c>
      <c r="F668" s="35">
        <v>1239</v>
      </c>
      <c r="G668" s="35">
        <v>100</v>
      </c>
      <c r="H668" s="43">
        <v>600</v>
      </c>
      <c r="I668" s="35">
        <v>695</v>
      </c>
      <c r="J668" s="35">
        <v>50</v>
      </c>
      <c r="K668" s="36"/>
      <c r="L668" s="36"/>
      <c r="M668" s="36"/>
      <c r="N668" s="36"/>
      <c r="O668" s="36"/>
      <c r="P668" s="36"/>
      <c r="Q668" s="36"/>
      <c r="R668" s="36"/>
      <c r="S668" s="36"/>
      <c r="T668" s="36"/>
    </row>
    <row r="669" spans="1:20" ht="15.75">
      <c r="A669" s="13">
        <v>61879</v>
      </c>
      <c r="B669" s="44">
        <f t="shared" si="1"/>
        <v>31</v>
      </c>
      <c r="C669" s="35">
        <v>194.20500000000001</v>
      </c>
      <c r="D669" s="35">
        <v>267.46600000000001</v>
      </c>
      <c r="E669" s="41">
        <v>812.32899999999995</v>
      </c>
      <c r="F669" s="35">
        <v>1274</v>
      </c>
      <c r="G669" s="35">
        <v>75</v>
      </c>
      <c r="H669" s="43">
        <v>600</v>
      </c>
      <c r="I669" s="35">
        <v>695</v>
      </c>
      <c r="J669" s="35">
        <v>50</v>
      </c>
      <c r="K669" s="36"/>
      <c r="L669" s="36"/>
      <c r="M669" s="36"/>
      <c r="N669" s="36"/>
      <c r="O669" s="36"/>
      <c r="P669" s="36"/>
      <c r="Q669" s="36"/>
      <c r="R669" s="36"/>
      <c r="S669" s="36"/>
      <c r="T669" s="36"/>
    </row>
    <row r="670" spans="1:20" ht="15.75">
      <c r="A670" s="13">
        <v>61909</v>
      </c>
      <c r="B670" s="44">
        <f t="shared" si="1"/>
        <v>30</v>
      </c>
      <c r="C670" s="35">
        <v>194.20500000000001</v>
      </c>
      <c r="D670" s="35">
        <v>267.46600000000001</v>
      </c>
      <c r="E670" s="41">
        <v>812.32899999999995</v>
      </c>
      <c r="F670" s="35">
        <v>1274</v>
      </c>
      <c r="G670" s="35">
        <v>50</v>
      </c>
      <c r="H670" s="43">
        <v>600</v>
      </c>
      <c r="I670" s="35">
        <v>695</v>
      </c>
      <c r="J670" s="35">
        <v>50</v>
      </c>
      <c r="K670" s="36"/>
      <c r="L670" s="36"/>
      <c r="M670" s="36"/>
      <c r="N670" s="36"/>
      <c r="O670" s="36"/>
      <c r="P670" s="36"/>
      <c r="Q670" s="36"/>
      <c r="R670" s="36"/>
      <c r="S670" s="36"/>
      <c r="T670" s="36"/>
    </row>
    <row r="671" spans="1:20" ht="15.75">
      <c r="A671" s="13">
        <v>61940</v>
      </c>
      <c r="B671" s="44">
        <f t="shared" si="1"/>
        <v>31</v>
      </c>
      <c r="C671" s="35">
        <v>194.20500000000001</v>
      </c>
      <c r="D671" s="35">
        <v>267.46600000000001</v>
      </c>
      <c r="E671" s="41">
        <v>812.32899999999995</v>
      </c>
      <c r="F671" s="35">
        <v>1274</v>
      </c>
      <c r="G671" s="35">
        <v>50</v>
      </c>
      <c r="H671" s="43">
        <v>600</v>
      </c>
      <c r="I671" s="35">
        <v>695</v>
      </c>
      <c r="J671" s="35">
        <v>0</v>
      </c>
      <c r="K671" s="36"/>
      <c r="L671" s="36"/>
      <c r="M671" s="36"/>
      <c r="N671" s="36"/>
      <c r="O671" s="36"/>
      <c r="P671" s="36"/>
      <c r="Q671" s="36"/>
      <c r="R671" s="36"/>
      <c r="S671" s="36"/>
      <c r="T671" s="36"/>
    </row>
    <row r="672" spans="1:20" ht="15.75">
      <c r="A672" s="13">
        <v>61971</v>
      </c>
      <c r="B672" s="44">
        <f t="shared" si="1"/>
        <v>31</v>
      </c>
      <c r="C672" s="35">
        <v>194.20500000000001</v>
      </c>
      <c r="D672" s="35">
        <v>267.46600000000001</v>
      </c>
      <c r="E672" s="41">
        <v>812.32899999999995</v>
      </c>
      <c r="F672" s="35">
        <v>1274</v>
      </c>
      <c r="G672" s="35">
        <v>50</v>
      </c>
      <c r="H672" s="43">
        <v>600</v>
      </c>
      <c r="I672" s="35">
        <v>695</v>
      </c>
      <c r="J672" s="35">
        <v>0</v>
      </c>
      <c r="K672" s="36"/>
      <c r="L672" s="36"/>
      <c r="M672" s="36"/>
      <c r="N672" s="36"/>
      <c r="O672" s="36"/>
      <c r="P672" s="36"/>
      <c r="Q672" s="36"/>
      <c r="R672" s="36"/>
      <c r="S672" s="36"/>
      <c r="T672" s="36"/>
    </row>
    <row r="673" spans="1:20" ht="15.75">
      <c r="A673" s="13">
        <v>62001</v>
      </c>
      <c r="B673" s="44">
        <f t="shared" si="1"/>
        <v>30</v>
      </c>
      <c r="C673" s="35">
        <v>194.20500000000001</v>
      </c>
      <c r="D673" s="35">
        <v>267.46600000000001</v>
      </c>
      <c r="E673" s="41">
        <v>812.32899999999995</v>
      </c>
      <c r="F673" s="35">
        <v>1274</v>
      </c>
      <c r="G673" s="35">
        <v>50</v>
      </c>
      <c r="H673" s="43">
        <v>600</v>
      </c>
      <c r="I673" s="35">
        <v>695</v>
      </c>
      <c r="J673" s="35">
        <v>0</v>
      </c>
      <c r="K673" s="36"/>
      <c r="L673" s="36"/>
      <c r="M673" s="36"/>
      <c r="N673" s="36"/>
      <c r="O673" s="36"/>
      <c r="P673" s="36"/>
      <c r="Q673" s="36"/>
      <c r="R673" s="36"/>
      <c r="S673" s="36"/>
      <c r="T673" s="36"/>
    </row>
    <row r="674" spans="1:20" ht="15.75">
      <c r="A674" s="13">
        <v>62032</v>
      </c>
      <c r="B674" s="44">
        <f t="shared" si="1"/>
        <v>31</v>
      </c>
      <c r="C674" s="35">
        <v>131.881</v>
      </c>
      <c r="D674" s="35">
        <v>277.16699999999997</v>
      </c>
      <c r="E674" s="41">
        <v>829.952</v>
      </c>
      <c r="F674" s="35">
        <v>1239</v>
      </c>
      <c r="G674" s="35">
        <v>75</v>
      </c>
      <c r="H674" s="43">
        <v>600</v>
      </c>
      <c r="I674" s="35">
        <v>695</v>
      </c>
      <c r="J674" s="35">
        <v>0</v>
      </c>
      <c r="K674" s="36"/>
      <c r="L674" s="36"/>
      <c r="M674" s="36"/>
      <c r="N674" s="36"/>
      <c r="O674" s="36"/>
      <c r="P674" s="36"/>
      <c r="Q674" s="36"/>
      <c r="R674" s="36"/>
      <c r="S674" s="36"/>
      <c r="T674" s="36"/>
    </row>
    <row r="675" spans="1:20" ht="15.75">
      <c r="A675" s="13">
        <v>62062</v>
      </c>
      <c r="B675" s="44">
        <f t="shared" si="1"/>
        <v>30</v>
      </c>
      <c r="C675" s="35">
        <v>122.58</v>
      </c>
      <c r="D675" s="35">
        <v>297.94099999999997</v>
      </c>
      <c r="E675" s="41">
        <v>729.47900000000004</v>
      </c>
      <c r="F675" s="35">
        <v>1150</v>
      </c>
      <c r="G675" s="35">
        <v>100</v>
      </c>
      <c r="H675" s="43">
        <v>600</v>
      </c>
      <c r="I675" s="35">
        <v>695</v>
      </c>
      <c r="J675" s="35">
        <v>50</v>
      </c>
      <c r="K675" s="36"/>
      <c r="L675" s="36"/>
      <c r="M675" s="36"/>
      <c r="N675" s="36"/>
      <c r="O675" s="36"/>
      <c r="P675" s="36"/>
      <c r="Q675" s="36"/>
      <c r="R675" s="36"/>
      <c r="S675" s="36"/>
      <c r="T675" s="36"/>
    </row>
    <row r="676" spans="1:20" ht="15.75">
      <c r="A676" s="13">
        <v>62093</v>
      </c>
      <c r="B676" s="44">
        <f t="shared" si="1"/>
        <v>31</v>
      </c>
      <c r="C676" s="35">
        <v>122.58</v>
      </c>
      <c r="D676" s="35">
        <v>297.94099999999997</v>
      </c>
      <c r="E676" s="41">
        <v>729.47900000000004</v>
      </c>
      <c r="F676" s="35">
        <v>1150</v>
      </c>
      <c r="G676" s="35">
        <v>100</v>
      </c>
      <c r="H676" s="43">
        <v>600</v>
      </c>
      <c r="I676" s="35">
        <v>695</v>
      </c>
      <c r="J676" s="35">
        <v>50</v>
      </c>
      <c r="K676" s="36"/>
      <c r="L676" s="36"/>
      <c r="M676" s="36"/>
      <c r="N676" s="36"/>
      <c r="O676" s="36"/>
      <c r="P676" s="36"/>
      <c r="Q676" s="36"/>
      <c r="R676" s="36"/>
      <c r="S676" s="36"/>
      <c r="T676" s="36"/>
    </row>
    <row r="677" spans="1:20" ht="15.75">
      <c r="A677" s="13">
        <v>62124</v>
      </c>
      <c r="B677" s="44">
        <f t="shared" si="1"/>
        <v>31</v>
      </c>
      <c r="C677" s="35">
        <v>122.58</v>
      </c>
      <c r="D677" s="35">
        <v>297.94099999999997</v>
      </c>
      <c r="E677" s="41">
        <v>729.47900000000004</v>
      </c>
      <c r="F677" s="35">
        <v>1150</v>
      </c>
      <c r="G677" s="35">
        <v>100</v>
      </c>
      <c r="H677" s="43">
        <v>600</v>
      </c>
      <c r="I677" s="35">
        <v>695</v>
      </c>
      <c r="J677" s="35">
        <v>50</v>
      </c>
      <c r="K677" s="36"/>
      <c r="L677" s="36"/>
      <c r="M677" s="36"/>
      <c r="N677" s="36"/>
      <c r="O677" s="36"/>
      <c r="P677" s="36"/>
      <c r="Q677" s="36"/>
      <c r="R677" s="36"/>
      <c r="S677" s="36"/>
      <c r="T677" s="36"/>
    </row>
    <row r="678" spans="1:20" ht="15.75">
      <c r="A678" s="13">
        <v>62152</v>
      </c>
      <c r="B678" s="44">
        <f t="shared" si="1"/>
        <v>28</v>
      </c>
      <c r="C678" s="35">
        <v>122.58</v>
      </c>
      <c r="D678" s="35">
        <v>297.94099999999997</v>
      </c>
      <c r="E678" s="41">
        <v>729.47900000000004</v>
      </c>
      <c r="F678" s="35">
        <v>1150</v>
      </c>
      <c r="G678" s="35">
        <v>100</v>
      </c>
      <c r="H678" s="43">
        <v>600</v>
      </c>
      <c r="I678" s="35">
        <v>695</v>
      </c>
      <c r="J678" s="35">
        <v>50</v>
      </c>
      <c r="K678" s="36"/>
      <c r="L678" s="36"/>
      <c r="M678" s="36"/>
      <c r="N678" s="36"/>
      <c r="O678" s="36"/>
      <c r="P678" s="36"/>
      <c r="Q678" s="36"/>
      <c r="R678" s="36"/>
      <c r="S678" s="36"/>
      <c r="T678" s="36"/>
    </row>
    <row r="679" spans="1:20" ht="15.75">
      <c r="A679" s="13">
        <v>62183</v>
      </c>
      <c r="B679" s="44">
        <f t="shared" si="1"/>
        <v>31</v>
      </c>
      <c r="C679" s="35">
        <v>122.58</v>
      </c>
      <c r="D679" s="35">
        <v>297.94099999999997</v>
      </c>
      <c r="E679" s="41">
        <v>729.47900000000004</v>
      </c>
      <c r="F679" s="35">
        <v>1150</v>
      </c>
      <c r="G679" s="35">
        <v>100</v>
      </c>
      <c r="H679" s="43">
        <v>600</v>
      </c>
      <c r="I679" s="35">
        <v>695</v>
      </c>
      <c r="J679" s="35">
        <v>50</v>
      </c>
      <c r="K679" s="36"/>
      <c r="L679" s="36"/>
      <c r="M679" s="36"/>
      <c r="N679" s="36"/>
      <c r="O679" s="36"/>
      <c r="P679" s="36"/>
      <c r="Q679" s="36"/>
      <c r="R679" s="36"/>
      <c r="S679" s="36"/>
      <c r="T679" s="36"/>
    </row>
    <row r="680" spans="1:20" ht="15.75">
      <c r="A680" s="13">
        <v>62213</v>
      </c>
      <c r="B680" s="44">
        <f t="shared" si="1"/>
        <v>30</v>
      </c>
      <c r="C680" s="35">
        <v>141.29300000000001</v>
      </c>
      <c r="D680" s="35">
        <v>267.99299999999999</v>
      </c>
      <c r="E680" s="41">
        <v>829.71400000000006</v>
      </c>
      <c r="F680" s="35">
        <v>1239</v>
      </c>
      <c r="G680" s="35">
        <v>100</v>
      </c>
      <c r="H680" s="43">
        <v>600</v>
      </c>
      <c r="I680" s="35">
        <v>695</v>
      </c>
      <c r="J680" s="35">
        <v>50</v>
      </c>
      <c r="K680" s="36"/>
      <c r="L680" s="36"/>
      <c r="M680" s="36"/>
      <c r="N680" s="36"/>
      <c r="O680" s="36"/>
      <c r="P680" s="36"/>
      <c r="Q680" s="36"/>
      <c r="R680" s="36"/>
      <c r="S680" s="36"/>
      <c r="T680" s="36"/>
    </row>
    <row r="681" spans="1:20" ht="15.75">
      <c r="A681" s="13">
        <v>62244</v>
      </c>
      <c r="B681" s="44">
        <f t="shared" si="1"/>
        <v>31</v>
      </c>
      <c r="C681" s="35">
        <v>194.20500000000001</v>
      </c>
      <c r="D681" s="35">
        <v>267.46600000000001</v>
      </c>
      <c r="E681" s="41">
        <v>812.32899999999995</v>
      </c>
      <c r="F681" s="35">
        <v>1274</v>
      </c>
      <c r="G681" s="35">
        <v>75</v>
      </c>
      <c r="H681" s="43">
        <v>600</v>
      </c>
      <c r="I681" s="35">
        <v>695</v>
      </c>
      <c r="J681" s="35">
        <v>50</v>
      </c>
      <c r="K681" s="36"/>
      <c r="L681" s="36"/>
      <c r="M681" s="36"/>
      <c r="N681" s="36"/>
      <c r="O681" s="36"/>
      <c r="P681" s="36"/>
      <c r="Q681" s="36"/>
      <c r="R681" s="36"/>
      <c r="S681" s="36"/>
      <c r="T681" s="36"/>
    </row>
    <row r="682" spans="1:20" ht="15.75">
      <c r="A682" s="13">
        <v>62274</v>
      </c>
      <c r="B682" s="44">
        <f t="shared" si="1"/>
        <v>30</v>
      </c>
      <c r="C682" s="35">
        <v>194.20500000000001</v>
      </c>
      <c r="D682" s="35">
        <v>267.46600000000001</v>
      </c>
      <c r="E682" s="41">
        <v>812.32899999999995</v>
      </c>
      <c r="F682" s="35">
        <v>1274</v>
      </c>
      <c r="G682" s="35">
        <v>50</v>
      </c>
      <c r="H682" s="43">
        <v>600</v>
      </c>
      <c r="I682" s="35">
        <v>695</v>
      </c>
      <c r="J682" s="35">
        <v>50</v>
      </c>
      <c r="K682" s="36"/>
      <c r="L682" s="36"/>
      <c r="M682" s="36"/>
      <c r="N682" s="36"/>
      <c r="O682" s="36"/>
      <c r="P682" s="36"/>
      <c r="Q682" s="36"/>
      <c r="R682" s="36"/>
      <c r="S682" s="36"/>
      <c r="T682" s="36"/>
    </row>
    <row r="683" spans="1:20" ht="15.75">
      <c r="A683" s="13">
        <v>62305</v>
      </c>
      <c r="B683" s="44">
        <f t="shared" si="1"/>
        <v>31</v>
      </c>
      <c r="C683" s="35">
        <v>194.20500000000001</v>
      </c>
      <c r="D683" s="35">
        <v>267.46600000000001</v>
      </c>
      <c r="E683" s="41">
        <v>812.32899999999995</v>
      </c>
      <c r="F683" s="35">
        <v>1274</v>
      </c>
      <c r="G683" s="35">
        <v>50</v>
      </c>
      <c r="H683" s="43">
        <v>600</v>
      </c>
      <c r="I683" s="35">
        <v>695</v>
      </c>
      <c r="J683" s="35">
        <v>0</v>
      </c>
      <c r="K683" s="36"/>
      <c r="L683" s="36"/>
      <c r="M683" s="36"/>
      <c r="N683" s="36"/>
      <c r="O683" s="36"/>
      <c r="P683" s="36"/>
      <c r="Q683" s="36"/>
      <c r="R683" s="36"/>
      <c r="S683" s="36"/>
      <c r="T683" s="36"/>
    </row>
    <row r="684" spans="1:20" ht="15.75">
      <c r="A684" s="13">
        <v>62336</v>
      </c>
      <c r="B684" s="44">
        <f t="shared" si="1"/>
        <v>31</v>
      </c>
      <c r="C684" s="35">
        <v>194.20500000000001</v>
      </c>
      <c r="D684" s="35">
        <v>267.46600000000001</v>
      </c>
      <c r="E684" s="41">
        <v>812.32899999999995</v>
      </c>
      <c r="F684" s="35">
        <v>1274</v>
      </c>
      <c r="G684" s="35">
        <v>50</v>
      </c>
      <c r="H684" s="43">
        <v>600</v>
      </c>
      <c r="I684" s="35">
        <v>695</v>
      </c>
      <c r="J684" s="35">
        <v>0</v>
      </c>
      <c r="K684" s="36"/>
      <c r="L684" s="36"/>
      <c r="M684" s="36"/>
      <c r="N684" s="36"/>
      <c r="O684" s="36"/>
      <c r="P684" s="36"/>
      <c r="Q684" s="36"/>
      <c r="R684" s="36"/>
      <c r="S684" s="36"/>
      <c r="T684" s="36"/>
    </row>
    <row r="685" spans="1:20" ht="15.75">
      <c r="A685" s="13">
        <v>62366</v>
      </c>
      <c r="B685" s="44">
        <f t="shared" si="1"/>
        <v>30</v>
      </c>
      <c r="C685" s="35">
        <v>194.20500000000001</v>
      </c>
      <c r="D685" s="35">
        <v>267.46600000000001</v>
      </c>
      <c r="E685" s="41">
        <v>812.32899999999995</v>
      </c>
      <c r="F685" s="35">
        <v>1274</v>
      </c>
      <c r="G685" s="35">
        <v>50</v>
      </c>
      <c r="H685" s="43">
        <v>600</v>
      </c>
      <c r="I685" s="35">
        <v>695</v>
      </c>
      <c r="J685" s="35">
        <v>0</v>
      </c>
      <c r="K685" s="36"/>
      <c r="L685" s="36"/>
      <c r="M685" s="36"/>
      <c r="N685" s="36"/>
      <c r="O685" s="36"/>
      <c r="P685" s="36"/>
      <c r="Q685" s="36"/>
      <c r="R685" s="36"/>
      <c r="S685" s="36"/>
      <c r="T685" s="36"/>
    </row>
    <row r="686" spans="1:20" ht="15.75">
      <c r="A686" s="13">
        <v>62397</v>
      </c>
      <c r="B686" s="44">
        <f t="shared" si="1"/>
        <v>31</v>
      </c>
      <c r="C686" s="35">
        <v>131.881</v>
      </c>
      <c r="D686" s="35">
        <v>277.16699999999997</v>
      </c>
      <c r="E686" s="41">
        <v>829.952</v>
      </c>
      <c r="F686" s="35">
        <v>1239</v>
      </c>
      <c r="G686" s="35">
        <v>75</v>
      </c>
      <c r="H686" s="43">
        <v>600</v>
      </c>
      <c r="I686" s="35">
        <v>695</v>
      </c>
      <c r="J686" s="35">
        <v>0</v>
      </c>
      <c r="K686" s="36"/>
      <c r="L686" s="36"/>
      <c r="M686" s="36"/>
      <c r="N686" s="36"/>
      <c r="O686" s="36"/>
      <c r="P686" s="36"/>
      <c r="Q686" s="36"/>
      <c r="R686" s="36"/>
      <c r="S686" s="36"/>
      <c r="T686" s="36"/>
    </row>
    <row r="687" spans="1:20" ht="15.75">
      <c r="A687" s="13">
        <v>62427</v>
      </c>
      <c r="B687" s="44">
        <f t="shared" si="1"/>
        <v>30</v>
      </c>
      <c r="C687" s="35">
        <v>122.58</v>
      </c>
      <c r="D687" s="35">
        <v>297.94099999999997</v>
      </c>
      <c r="E687" s="41">
        <v>729.47900000000004</v>
      </c>
      <c r="F687" s="35">
        <v>1150</v>
      </c>
      <c r="G687" s="35">
        <v>100</v>
      </c>
      <c r="H687" s="43">
        <v>600</v>
      </c>
      <c r="I687" s="35">
        <v>695</v>
      </c>
      <c r="J687" s="35">
        <v>50</v>
      </c>
      <c r="K687" s="36"/>
      <c r="L687" s="36"/>
      <c r="M687" s="36"/>
      <c r="N687" s="36"/>
      <c r="O687" s="36"/>
      <c r="P687" s="36"/>
      <c r="Q687" s="36"/>
      <c r="R687" s="36"/>
      <c r="S687" s="36"/>
      <c r="T687" s="36"/>
    </row>
    <row r="688" spans="1:20" ht="15.75">
      <c r="A688" s="13">
        <v>62458</v>
      </c>
      <c r="B688" s="44">
        <f t="shared" si="1"/>
        <v>31</v>
      </c>
      <c r="C688" s="35">
        <v>122.58</v>
      </c>
      <c r="D688" s="35">
        <v>297.94099999999997</v>
      </c>
      <c r="E688" s="41">
        <v>729.47900000000004</v>
      </c>
      <c r="F688" s="35">
        <v>1150</v>
      </c>
      <c r="G688" s="35">
        <v>100</v>
      </c>
      <c r="H688" s="43">
        <v>600</v>
      </c>
      <c r="I688" s="35">
        <v>695</v>
      </c>
      <c r="J688" s="35">
        <v>50</v>
      </c>
      <c r="K688" s="36"/>
      <c r="L688" s="36"/>
      <c r="M688" s="36"/>
      <c r="N688" s="36"/>
      <c r="O688" s="36"/>
      <c r="P688" s="36"/>
      <c r="Q688" s="36"/>
      <c r="R688" s="36"/>
      <c r="S688" s="36"/>
      <c r="T688" s="36"/>
    </row>
    <row r="689" spans="1:20" ht="15.75">
      <c r="A689" s="13">
        <v>62489</v>
      </c>
      <c r="B689" s="44">
        <f t="shared" si="1"/>
        <v>31</v>
      </c>
      <c r="C689" s="35">
        <v>122.58</v>
      </c>
      <c r="D689" s="35">
        <v>297.94099999999997</v>
      </c>
      <c r="E689" s="41">
        <v>729.47900000000004</v>
      </c>
      <c r="F689" s="35">
        <v>1150</v>
      </c>
      <c r="G689" s="35">
        <v>100</v>
      </c>
      <c r="H689" s="43">
        <v>600</v>
      </c>
      <c r="I689" s="35">
        <v>695</v>
      </c>
      <c r="J689" s="35">
        <v>50</v>
      </c>
      <c r="K689" s="36"/>
      <c r="L689" s="36"/>
      <c r="M689" s="36"/>
      <c r="N689" s="36"/>
      <c r="O689" s="36"/>
      <c r="P689" s="36"/>
      <c r="Q689" s="36"/>
      <c r="R689" s="36"/>
      <c r="S689" s="36"/>
      <c r="T689" s="36"/>
    </row>
    <row r="690" spans="1:20" ht="15.75">
      <c r="A690" s="13">
        <v>62517</v>
      </c>
      <c r="B690" s="44">
        <f t="shared" si="1"/>
        <v>28</v>
      </c>
      <c r="C690" s="35">
        <v>122.58</v>
      </c>
      <c r="D690" s="35">
        <v>297.94099999999997</v>
      </c>
      <c r="E690" s="41">
        <v>729.47900000000004</v>
      </c>
      <c r="F690" s="35">
        <v>1150</v>
      </c>
      <c r="G690" s="35">
        <v>100</v>
      </c>
      <c r="H690" s="43">
        <v>600</v>
      </c>
      <c r="I690" s="35">
        <v>695</v>
      </c>
      <c r="J690" s="35">
        <v>50</v>
      </c>
      <c r="K690" s="36"/>
      <c r="L690" s="36"/>
      <c r="M690" s="36"/>
      <c r="N690" s="36"/>
      <c r="O690" s="36"/>
      <c r="P690" s="36"/>
      <c r="Q690" s="36"/>
      <c r="R690" s="36"/>
      <c r="S690" s="36"/>
      <c r="T690" s="36"/>
    </row>
    <row r="691" spans="1:20" ht="15.75">
      <c r="A691" s="13">
        <v>62548</v>
      </c>
      <c r="B691" s="44">
        <f t="shared" si="1"/>
        <v>31</v>
      </c>
      <c r="C691" s="35">
        <v>122.58</v>
      </c>
      <c r="D691" s="35">
        <v>297.94099999999997</v>
      </c>
      <c r="E691" s="41">
        <v>729.47900000000004</v>
      </c>
      <c r="F691" s="35">
        <v>1150</v>
      </c>
      <c r="G691" s="35">
        <v>100</v>
      </c>
      <c r="H691" s="43">
        <v>600</v>
      </c>
      <c r="I691" s="35">
        <v>695</v>
      </c>
      <c r="J691" s="35">
        <v>50</v>
      </c>
      <c r="K691" s="36"/>
      <c r="L691" s="36"/>
      <c r="M691" s="36"/>
      <c r="N691" s="36"/>
      <c r="O691" s="36"/>
      <c r="P691" s="36"/>
      <c r="Q691" s="36"/>
      <c r="R691" s="36"/>
      <c r="S691" s="36"/>
      <c r="T691" s="36"/>
    </row>
    <row r="692" spans="1:20" ht="15.75">
      <c r="A692" s="13">
        <v>62578</v>
      </c>
      <c r="B692" s="44">
        <f t="shared" si="1"/>
        <v>30</v>
      </c>
      <c r="C692" s="35">
        <v>141.29300000000001</v>
      </c>
      <c r="D692" s="35">
        <v>267.99299999999999</v>
      </c>
      <c r="E692" s="41">
        <v>829.71400000000006</v>
      </c>
      <c r="F692" s="35">
        <v>1239</v>
      </c>
      <c r="G692" s="35">
        <v>100</v>
      </c>
      <c r="H692" s="43">
        <v>600</v>
      </c>
      <c r="I692" s="35">
        <v>695</v>
      </c>
      <c r="J692" s="35">
        <v>50</v>
      </c>
      <c r="K692" s="36"/>
      <c r="L692" s="36"/>
      <c r="M692" s="36"/>
      <c r="N692" s="36"/>
      <c r="O692" s="36"/>
      <c r="P692" s="36"/>
      <c r="Q692" s="36"/>
      <c r="R692" s="36"/>
      <c r="S692" s="36"/>
      <c r="T692" s="36"/>
    </row>
    <row r="693" spans="1:20" ht="15.75">
      <c r="A693" s="13">
        <v>62609</v>
      </c>
      <c r="B693" s="44">
        <f t="shared" si="1"/>
        <v>31</v>
      </c>
      <c r="C693" s="35">
        <v>194.20500000000001</v>
      </c>
      <c r="D693" s="35">
        <v>267.46600000000001</v>
      </c>
      <c r="E693" s="41">
        <v>812.32899999999995</v>
      </c>
      <c r="F693" s="35">
        <v>1274</v>
      </c>
      <c r="G693" s="35">
        <v>75</v>
      </c>
      <c r="H693" s="43">
        <v>600</v>
      </c>
      <c r="I693" s="35">
        <v>695</v>
      </c>
      <c r="J693" s="35">
        <v>50</v>
      </c>
      <c r="K693" s="36"/>
      <c r="L693" s="36"/>
      <c r="M693" s="36"/>
      <c r="N693" s="36"/>
      <c r="O693" s="36"/>
      <c r="P693" s="36"/>
      <c r="Q693" s="36"/>
      <c r="R693" s="36"/>
      <c r="S693" s="36"/>
      <c r="T693" s="36"/>
    </row>
    <row r="694" spans="1:20" ht="15.75">
      <c r="A694" s="13">
        <v>62639</v>
      </c>
      <c r="B694" s="44">
        <f t="shared" si="1"/>
        <v>30</v>
      </c>
      <c r="C694" s="35">
        <v>194.20500000000001</v>
      </c>
      <c r="D694" s="35">
        <v>267.46600000000001</v>
      </c>
      <c r="E694" s="41">
        <v>812.32899999999995</v>
      </c>
      <c r="F694" s="35">
        <v>1274</v>
      </c>
      <c r="G694" s="35">
        <v>50</v>
      </c>
      <c r="H694" s="43">
        <v>600</v>
      </c>
      <c r="I694" s="35">
        <v>695</v>
      </c>
      <c r="J694" s="35">
        <v>50</v>
      </c>
      <c r="K694" s="36"/>
      <c r="L694" s="36"/>
      <c r="M694" s="36"/>
      <c r="N694" s="36"/>
      <c r="O694" s="36"/>
      <c r="P694" s="36"/>
      <c r="Q694" s="36"/>
      <c r="R694" s="36"/>
      <c r="S694" s="36"/>
      <c r="T694" s="36"/>
    </row>
    <row r="695" spans="1:20" ht="15.75">
      <c r="A695" s="13">
        <v>62670</v>
      </c>
      <c r="B695" s="44">
        <f t="shared" si="1"/>
        <v>31</v>
      </c>
      <c r="C695" s="35">
        <v>194.20500000000001</v>
      </c>
      <c r="D695" s="35">
        <v>267.46600000000001</v>
      </c>
      <c r="E695" s="41">
        <v>812.32899999999995</v>
      </c>
      <c r="F695" s="35">
        <v>1274</v>
      </c>
      <c r="G695" s="35">
        <v>50</v>
      </c>
      <c r="H695" s="43">
        <v>600</v>
      </c>
      <c r="I695" s="35">
        <v>695</v>
      </c>
      <c r="J695" s="35">
        <v>0</v>
      </c>
      <c r="K695" s="36"/>
      <c r="L695" s="36"/>
      <c r="M695" s="36"/>
      <c r="N695" s="36"/>
      <c r="O695" s="36"/>
      <c r="P695" s="36"/>
      <c r="Q695" s="36"/>
      <c r="R695" s="36"/>
      <c r="S695" s="36"/>
      <c r="T695" s="36"/>
    </row>
    <row r="696" spans="1:20" ht="15.75">
      <c r="A696" s="13">
        <v>62701</v>
      </c>
      <c r="B696" s="44">
        <f t="shared" si="1"/>
        <v>31</v>
      </c>
      <c r="C696" s="35">
        <v>194.20500000000001</v>
      </c>
      <c r="D696" s="35">
        <v>267.46600000000001</v>
      </c>
      <c r="E696" s="41">
        <v>812.32899999999995</v>
      </c>
      <c r="F696" s="35">
        <v>1274</v>
      </c>
      <c r="G696" s="35">
        <v>50</v>
      </c>
      <c r="H696" s="43">
        <v>600</v>
      </c>
      <c r="I696" s="35">
        <v>695</v>
      </c>
      <c r="J696" s="35">
        <v>0</v>
      </c>
      <c r="K696" s="36"/>
      <c r="L696" s="36"/>
      <c r="M696" s="36"/>
      <c r="N696" s="36"/>
      <c r="O696" s="36"/>
      <c r="P696" s="36"/>
      <c r="Q696" s="36"/>
      <c r="R696" s="36"/>
      <c r="S696" s="36"/>
      <c r="T696" s="36"/>
    </row>
    <row r="697" spans="1:20" ht="15.75">
      <c r="A697" s="13">
        <v>62731</v>
      </c>
      <c r="B697" s="44">
        <f t="shared" si="1"/>
        <v>30</v>
      </c>
      <c r="C697" s="35">
        <v>194.20500000000001</v>
      </c>
      <c r="D697" s="35">
        <v>267.46600000000001</v>
      </c>
      <c r="E697" s="41">
        <v>812.32899999999995</v>
      </c>
      <c r="F697" s="35">
        <v>1274</v>
      </c>
      <c r="G697" s="35">
        <v>50</v>
      </c>
      <c r="H697" s="43">
        <v>600</v>
      </c>
      <c r="I697" s="35">
        <v>695</v>
      </c>
      <c r="J697" s="35">
        <v>0</v>
      </c>
      <c r="K697" s="36"/>
      <c r="L697" s="36"/>
      <c r="M697" s="36"/>
      <c r="N697" s="36"/>
      <c r="O697" s="36"/>
      <c r="P697" s="36"/>
      <c r="Q697" s="36"/>
      <c r="R697" s="36"/>
      <c r="S697" s="36"/>
      <c r="T697" s="36"/>
    </row>
    <row r="698" spans="1:20" ht="15.75">
      <c r="A698" s="13">
        <v>62762</v>
      </c>
      <c r="B698" s="44">
        <f t="shared" si="1"/>
        <v>31</v>
      </c>
      <c r="C698" s="35">
        <v>131.881</v>
      </c>
      <c r="D698" s="35">
        <v>277.16699999999997</v>
      </c>
      <c r="E698" s="41">
        <v>829.952</v>
      </c>
      <c r="F698" s="35">
        <v>1239</v>
      </c>
      <c r="G698" s="35">
        <v>75</v>
      </c>
      <c r="H698" s="43">
        <v>600</v>
      </c>
      <c r="I698" s="35">
        <v>695</v>
      </c>
      <c r="J698" s="35">
        <v>0</v>
      </c>
      <c r="K698" s="36"/>
      <c r="L698" s="36"/>
      <c r="M698" s="36"/>
      <c r="N698" s="36"/>
      <c r="O698" s="36"/>
      <c r="P698" s="36"/>
      <c r="Q698" s="36"/>
      <c r="R698" s="36"/>
      <c r="S698" s="36"/>
      <c r="T698" s="36"/>
    </row>
    <row r="699" spans="1:20" ht="15.75">
      <c r="A699" s="13">
        <v>62792</v>
      </c>
      <c r="B699" s="44">
        <f t="shared" si="1"/>
        <v>30</v>
      </c>
      <c r="C699" s="35">
        <v>122.58</v>
      </c>
      <c r="D699" s="35">
        <v>297.94099999999997</v>
      </c>
      <c r="E699" s="41">
        <v>729.47900000000004</v>
      </c>
      <c r="F699" s="35">
        <v>1150</v>
      </c>
      <c r="G699" s="35">
        <v>100</v>
      </c>
      <c r="H699" s="43">
        <v>600</v>
      </c>
      <c r="I699" s="35">
        <v>695</v>
      </c>
      <c r="J699" s="35">
        <v>50</v>
      </c>
      <c r="K699" s="36"/>
      <c r="L699" s="36"/>
      <c r="M699" s="36"/>
      <c r="N699" s="36"/>
      <c r="O699" s="36"/>
      <c r="P699" s="36"/>
      <c r="Q699" s="36"/>
      <c r="R699" s="36"/>
      <c r="S699" s="36"/>
      <c r="T699" s="36"/>
    </row>
    <row r="700" spans="1:20" ht="15.75">
      <c r="A700" s="13">
        <v>62823</v>
      </c>
      <c r="B700" s="44">
        <f t="shared" si="1"/>
        <v>31</v>
      </c>
      <c r="C700" s="35">
        <v>122.58</v>
      </c>
      <c r="D700" s="35">
        <v>297.94099999999997</v>
      </c>
      <c r="E700" s="41">
        <v>729.47900000000004</v>
      </c>
      <c r="F700" s="35">
        <v>1150</v>
      </c>
      <c r="G700" s="35">
        <v>100</v>
      </c>
      <c r="H700" s="43">
        <v>600</v>
      </c>
      <c r="I700" s="35">
        <v>695</v>
      </c>
      <c r="J700" s="35">
        <v>50</v>
      </c>
      <c r="K700" s="36"/>
      <c r="L700" s="36"/>
      <c r="M700" s="36"/>
      <c r="N700" s="36"/>
      <c r="O700" s="36"/>
      <c r="P700" s="36"/>
      <c r="Q700" s="36"/>
      <c r="R700" s="36"/>
      <c r="S700" s="36"/>
      <c r="T700" s="36"/>
    </row>
    <row r="701" spans="1:20" ht="15.75">
      <c r="A701" s="13">
        <v>62854</v>
      </c>
      <c r="B701" s="44">
        <f t="shared" si="1"/>
        <v>31</v>
      </c>
      <c r="C701" s="35">
        <v>122.58</v>
      </c>
      <c r="D701" s="35">
        <v>297.94099999999997</v>
      </c>
      <c r="E701" s="41">
        <v>729.47900000000004</v>
      </c>
      <c r="F701" s="35">
        <v>1150</v>
      </c>
      <c r="G701" s="35">
        <v>100</v>
      </c>
      <c r="H701" s="43">
        <v>600</v>
      </c>
      <c r="I701" s="35">
        <v>695</v>
      </c>
      <c r="J701" s="35">
        <v>50</v>
      </c>
      <c r="K701" s="36"/>
      <c r="L701" s="36"/>
      <c r="M701" s="36"/>
      <c r="N701" s="36"/>
      <c r="O701" s="36"/>
      <c r="P701" s="36"/>
      <c r="Q701" s="36"/>
      <c r="R701" s="36"/>
      <c r="S701" s="36"/>
      <c r="T701" s="36"/>
    </row>
    <row r="702" spans="1:20" ht="15.75">
      <c r="A702" s="13">
        <v>62883</v>
      </c>
      <c r="B702" s="44">
        <f t="shared" si="1"/>
        <v>29</v>
      </c>
      <c r="C702" s="35">
        <v>122.58</v>
      </c>
      <c r="D702" s="35">
        <v>297.94099999999997</v>
      </c>
      <c r="E702" s="41">
        <v>729.47900000000004</v>
      </c>
      <c r="F702" s="35">
        <v>1150</v>
      </c>
      <c r="G702" s="35">
        <v>100</v>
      </c>
      <c r="H702" s="43">
        <v>600</v>
      </c>
      <c r="I702" s="35">
        <v>695</v>
      </c>
      <c r="J702" s="35">
        <v>50</v>
      </c>
      <c r="K702" s="36"/>
      <c r="L702" s="36"/>
      <c r="M702" s="36"/>
      <c r="N702" s="36"/>
      <c r="O702" s="36"/>
      <c r="P702" s="36"/>
      <c r="Q702" s="36"/>
      <c r="R702" s="36"/>
      <c r="S702" s="36"/>
      <c r="T702" s="36"/>
    </row>
    <row r="703" spans="1:20" ht="15.75">
      <c r="A703" s="13">
        <v>62914</v>
      </c>
      <c r="B703" s="44">
        <f t="shared" si="1"/>
        <v>31</v>
      </c>
      <c r="C703" s="35">
        <v>122.58</v>
      </c>
      <c r="D703" s="35">
        <v>297.94099999999997</v>
      </c>
      <c r="E703" s="41">
        <v>729.47900000000004</v>
      </c>
      <c r="F703" s="35">
        <v>1150</v>
      </c>
      <c r="G703" s="35">
        <v>100</v>
      </c>
      <c r="H703" s="43">
        <v>600</v>
      </c>
      <c r="I703" s="35">
        <v>695</v>
      </c>
      <c r="J703" s="35">
        <v>50</v>
      </c>
      <c r="K703" s="36"/>
      <c r="L703" s="36"/>
      <c r="M703" s="36"/>
      <c r="N703" s="36"/>
      <c r="O703" s="36"/>
      <c r="P703" s="36"/>
      <c r="Q703" s="36"/>
      <c r="R703" s="36"/>
      <c r="S703" s="36"/>
      <c r="T703" s="36"/>
    </row>
    <row r="704" spans="1:20" ht="15.75">
      <c r="A704" s="13">
        <v>62944</v>
      </c>
      <c r="B704" s="44">
        <f t="shared" si="1"/>
        <v>30</v>
      </c>
      <c r="C704" s="35">
        <v>141.29300000000001</v>
      </c>
      <c r="D704" s="35">
        <v>267.99299999999999</v>
      </c>
      <c r="E704" s="41">
        <v>829.71400000000006</v>
      </c>
      <c r="F704" s="35">
        <v>1239</v>
      </c>
      <c r="G704" s="35">
        <v>100</v>
      </c>
      <c r="H704" s="43">
        <v>600</v>
      </c>
      <c r="I704" s="35">
        <v>695</v>
      </c>
      <c r="J704" s="35">
        <v>50</v>
      </c>
      <c r="K704" s="36"/>
      <c r="L704" s="36"/>
      <c r="M704" s="36"/>
      <c r="N704" s="36"/>
      <c r="O704" s="36"/>
      <c r="P704" s="36"/>
      <c r="Q704" s="36"/>
      <c r="R704" s="36"/>
      <c r="S704" s="36"/>
      <c r="T704" s="36"/>
    </row>
    <row r="705" spans="1:20" ht="15.75">
      <c r="A705" s="13">
        <v>62975</v>
      </c>
      <c r="B705" s="44">
        <f t="shared" si="1"/>
        <v>31</v>
      </c>
      <c r="C705" s="35">
        <v>194.20500000000001</v>
      </c>
      <c r="D705" s="35">
        <v>267.46600000000001</v>
      </c>
      <c r="E705" s="41">
        <v>812.32899999999995</v>
      </c>
      <c r="F705" s="35">
        <v>1274</v>
      </c>
      <c r="G705" s="35">
        <v>75</v>
      </c>
      <c r="H705" s="43">
        <v>600</v>
      </c>
      <c r="I705" s="35">
        <v>695</v>
      </c>
      <c r="J705" s="35">
        <v>50</v>
      </c>
      <c r="K705" s="36"/>
      <c r="L705" s="36"/>
      <c r="M705" s="36"/>
      <c r="N705" s="36"/>
      <c r="O705" s="36"/>
      <c r="P705" s="36"/>
      <c r="Q705" s="36"/>
      <c r="R705" s="36"/>
      <c r="S705" s="36"/>
      <c r="T705" s="36"/>
    </row>
    <row r="706" spans="1:20" ht="15.75">
      <c r="A706" s="13">
        <v>63005</v>
      </c>
      <c r="B706" s="44">
        <f t="shared" si="1"/>
        <v>30</v>
      </c>
      <c r="C706" s="35">
        <v>194.20500000000001</v>
      </c>
      <c r="D706" s="35">
        <v>267.46600000000001</v>
      </c>
      <c r="E706" s="41">
        <v>812.32899999999995</v>
      </c>
      <c r="F706" s="35">
        <v>1274</v>
      </c>
      <c r="G706" s="35">
        <v>50</v>
      </c>
      <c r="H706" s="43">
        <v>600</v>
      </c>
      <c r="I706" s="35">
        <v>695</v>
      </c>
      <c r="J706" s="35">
        <v>50</v>
      </c>
      <c r="K706" s="36"/>
      <c r="L706" s="36"/>
      <c r="M706" s="36"/>
      <c r="N706" s="36"/>
      <c r="O706" s="36"/>
      <c r="P706" s="36"/>
      <c r="Q706" s="36"/>
      <c r="R706" s="36"/>
      <c r="S706" s="36"/>
      <c r="T706" s="36"/>
    </row>
    <row r="707" spans="1:20" ht="15.75">
      <c r="A707" s="13">
        <v>63036</v>
      </c>
      <c r="B707" s="44">
        <f t="shared" si="1"/>
        <v>31</v>
      </c>
      <c r="C707" s="35">
        <v>194.20500000000001</v>
      </c>
      <c r="D707" s="35">
        <v>267.46600000000001</v>
      </c>
      <c r="E707" s="41">
        <v>812.32899999999995</v>
      </c>
      <c r="F707" s="35">
        <v>1274</v>
      </c>
      <c r="G707" s="35">
        <v>50</v>
      </c>
      <c r="H707" s="43">
        <v>600</v>
      </c>
      <c r="I707" s="35">
        <v>695</v>
      </c>
      <c r="J707" s="35">
        <v>0</v>
      </c>
      <c r="K707" s="36"/>
      <c r="L707" s="36"/>
      <c r="M707" s="36"/>
      <c r="N707" s="36"/>
      <c r="O707" s="36"/>
      <c r="P707" s="36"/>
      <c r="Q707" s="36"/>
      <c r="R707" s="36"/>
      <c r="S707" s="36"/>
      <c r="T707" s="36"/>
    </row>
    <row r="708" spans="1:20" ht="15.75">
      <c r="A708" s="13">
        <v>63067</v>
      </c>
      <c r="B708" s="44">
        <f t="shared" si="1"/>
        <v>31</v>
      </c>
      <c r="C708" s="35">
        <v>194.20500000000001</v>
      </c>
      <c r="D708" s="35">
        <v>267.46600000000001</v>
      </c>
      <c r="E708" s="41">
        <v>812.32899999999995</v>
      </c>
      <c r="F708" s="35">
        <v>1274</v>
      </c>
      <c r="G708" s="35">
        <v>50</v>
      </c>
      <c r="H708" s="43">
        <v>600</v>
      </c>
      <c r="I708" s="35">
        <v>695</v>
      </c>
      <c r="J708" s="35">
        <v>0</v>
      </c>
      <c r="K708" s="36"/>
      <c r="L708" s="36"/>
      <c r="M708" s="36"/>
      <c r="N708" s="36"/>
      <c r="O708" s="36"/>
      <c r="P708" s="36"/>
      <c r="Q708" s="36"/>
      <c r="R708" s="36"/>
      <c r="S708" s="36"/>
      <c r="T708" s="36"/>
    </row>
    <row r="709" spans="1:20" ht="15.75">
      <c r="A709" s="13">
        <v>63097</v>
      </c>
      <c r="B709" s="44">
        <f t="shared" ref="B709:B772" si="2">EOMONTH(A709,0)-EOMONTH(A709,-1)</f>
        <v>30</v>
      </c>
      <c r="C709" s="35">
        <v>194.20500000000001</v>
      </c>
      <c r="D709" s="35">
        <v>267.46600000000001</v>
      </c>
      <c r="E709" s="41">
        <v>812.32899999999995</v>
      </c>
      <c r="F709" s="35">
        <v>1274</v>
      </c>
      <c r="G709" s="35">
        <v>50</v>
      </c>
      <c r="H709" s="43">
        <v>600</v>
      </c>
      <c r="I709" s="35">
        <v>695</v>
      </c>
      <c r="J709" s="35">
        <v>0</v>
      </c>
      <c r="K709" s="36"/>
      <c r="L709" s="36"/>
      <c r="M709" s="36"/>
      <c r="N709" s="36"/>
      <c r="O709" s="36"/>
      <c r="P709" s="36"/>
      <c r="Q709" s="36"/>
      <c r="R709" s="36"/>
      <c r="S709" s="36"/>
      <c r="T709" s="36"/>
    </row>
    <row r="710" spans="1:20" ht="15.75">
      <c r="A710" s="13">
        <v>63128</v>
      </c>
      <c r="B710" s="44">
        <f t="shared" si="2"/>
        <v>31</v>
      </c>
      <c r="C710" s="35">
        <v>131.881</v>
      </c>
      <c r="D710" s="35">
        <v>277.16699999999997</v>
      </c>
      <c r="E710" s="41">
        <v>829.952</v>
      </c>
      <c r="F710" s="35">
        <v>1239</v>
      </c>
      <c r="G710" s="35">
        <v>75</v>
      </c>
      <c r="H710" s="43">
        <v>600</v>
      </c>
      <c r="I710" s="35">
        <v>695</v>
      </c>
      <c r="J710" s="35">
        <v>0</v>
      </c>
      <c r="K710" s="36"/>
      <c r="L710" s="36"/>
      <c r="M710" s="36"/>
      <c r="N710" s="36"/>
      <c r="O710" s="36"/>
      <c r="P710" s="36"/>
      <c r="Q710" s="36"/>
      <c r="R710" s="36"/>
      <c r="S710" s="36"/>
      <c r="T710" s="36"/>
    </row>
    <row r="711" spans="1:20" ht="15.75">
      <c r="A711" s="13">
        <v>63158</v>
      </c>
      <c r="B711" s="44">
        <f t="shared" si="2"/>
        <v>30</v>
      </c>
      <c r="C711" s="35">
        <v>122.58</v>
      </c>
      <c r="D711" s="35">
        <v>297.94099999999997</v>
      </c>
      <c r="E711" s="41">
        <v>729.47900000000004</v>
      </c>
      <c r="F711" s="35">
        <v>1150</v>
      </c>
      <c r="G711" s="35">
        <v>100</v>
      </c>
      <c r="H711" s="43">
        <v>600</v>
      </c>
      <c r="I711" s="35">
        <v>695</v>
      </c>
      <c r="J711" s="35">
        <v>50</v>
      </c>
      <c r="K711" s="36"/>
      <c r="L711" s="36"/>
      <c r="M711" s="36"/>
      <c r="N711" s="36"/>
      <c r="O711" s="36"/>
      <c r="P711" s="36"/>
      <c r="Q711" s="36"/>
      <c r="R711" s="36"/>
      <c r="S711" s="36"/>
      <c r="T711" s="36"/>
    </row>
    <row r="712" spans="1:20" ht="15.75">
      <c r="A712" s="13">
        <v>63189</v>
      </c>
      <c r="B712" s="44">
        <f t="shared" si="2"/>
        <v>31</v>
      </c>
      <c r="C712" s="35">
        <v>122.58</v>
      </c>
      <c r="D712" s="35">
        <v>297.94099999999997</v>
      </c>
      <c r="E712" s="41">
        <v>729.47900000000004</v>
      </c>
      <c r="F712" s="35">
        <v>1150</v>
      </c>
      <c r="G712" s="35">
        <v>100</v>
      </c>
      <c r="H712" s="43">
        <v>600</v>
      </c>
      <c r="I712" s="35">
        <v>695</v>
      </c>
      <c r="J712" s="35">
        <v>50</v>
      </c>
      <c r="K712" s="36"/>
      <c r="L712" s="36"/>
      <c r="M712" s="36"/>
      <c r="N712" s="36"/>
      <c r="O712" s="36"/>
      <c r="P712" s="36"/>
      <c r="Q712" s="36"/>
      <c r="R712" s="36"/>
      <c r="S712" s="36"/>
      <c r="T712" s="36"/>
    </row>
    <row r="713" spans="1:20" ht="15.75">
      <c r="A713" s="13">
        <v>63220</v>
      </c>
      <c r="B713" s="44">
        <f t="shared" si="2"/>
        <v>31</v>
      </c>
      <c r="C713" s="35">
        <v>122.58</v>
      </c>
      <c r="D713" s="35">
        <v>297.94099999999997</v>
      </c>
      <c r="E713" s="41">
        <v>729.47900000000004</v>
      </c>
      <c r="F713" s="35">
        <v>1150</v>
      </c>
      <c r="G713" s="35">
        <v>100</v>
      </c>
      <c r="H713" s="43">
        <v>600</v>
      </c>
      <c r="I713" s="35">
        <v>695</v>
      </c>
      <c r="J713" s="35">
        <v>50</v>
      </c>
      <c r="K713" s="36"/>
      <c r="L713" s="36"/>
      <c r="M713" s="36"/>
      <c r="N713" s="36"/>
      <c r="O713" s="36"/>
      <c r="P713" s="36"/>
      <c r="Q713" s="36"/>
      <c r="R713" s="36"/>
      <c r="S713" s="36"/>
      <c r="T713" s="36"/>
    </row>
    <row r="714" spans="1:20" ht="15.75">
      <c r="A714" s="13">
        <v>63248</v>
      </c>
      <c r="B714" s="44">
        <f t="shared" si="2"/>
        <v>28</v>
      </c>
      <c r="C714" s="35">
        <v>122.58</v>
      </c>
      <c r="D714" s="35">
        <v>297.94099999999997</v>
      </c>
      <c r="E714" s="41">
        <v>729.47900000000004</v>
      </c>
      <c r="F714" s="35">
        <v>1150</v>
      </c>
      <c r="G714" s="35">
        <v>100</v>
      </c>
      <c r="H714" s="43">
        <v>600</v>
      </c>
      <c r="I714" s="35">
        <v>695</v>
      </c>
      <c r="J714" s="35">
        <v>50</v>
      </c>
      <c r="K714" s="36"/>
      <c r="L714" s="36"/>
      <c r="M714" s="36"/>
      <c r="N714" s="36"/>
      <c r="O714" s="36"/>
      <c r="P714" s="36"/>
      <c r="Q714" s="36"/>
      <c r="R714" s="36"/>
      <c r="S714" s="36"/>
      <c r="T714" s="36"/>
    </row>
    <row r="715" spans="1:20" ht="15.75">
      <c r="A715" s="13">
        <v>63279</v>
      </c>
      <c r="B715" s="44">
        <f t="shared" si="2"/>
        <v>31</v>
      </c>
      <c r="C715" s="35">
        <v>122.58</v>
      </c>
      <c r="D715" s="35">
        <v>297.94099999999997</v>
      </c>
      <c r="E715" s="41">
        <v>729.47900000000004</v>
      </c>
      <c r="F715" s="35">
        <v>1150</v>
      </c>
      <c r="G715" s="35">
        <v>100</v>
      </c>
      <c r="H715" s="43">
        <v>600</v>
      </c>
      <c r="I715" s="35">
        <v>695</v>
      </c>
      <c r="J715" s="35">
        <v>50</v>
      </c>
      <c r="K715" s="36"/>
      <c r="L715" s="36"/>
      <c r="M715" s="36"/>
      <c r="N715" s="36"/>
      <c r="O715" s="36"/>
      <c r="P715" s="36"/>
      <c r="Q715" s="36"/>
      <c r="R715" s="36"/>
      <c r="S715" s="36"/>
      <c r="T715" s="36"/>
    </row>
    <row r="716" spans="1:20" ht="15.75">
      <c r="A716" s="13">
        <v>63309</v>
      </c>
      <c r="B716" s="44">
        <f t="shared" si="2"/>
        <v>30</v>
      </c>
      <c r="C716" s="35">
        <v>141.29300000000001</v>
      </c>
      <c r="D716" s="35">
        <v>267.99299999999999</v>
      </c>
      <c r="E716" s="41">
        <v>829.71400000000006</v>
      </c>
      <c r="F716" s="35">
        <v>1239</v>
      </c>
      <c r="G716" s="35">
        <v>100</v>
      </c>
      <c r="H716" s="43">
        <v>600</v>
      </c>
      <c r="I716" s="35">
        <v>695</v>
      </c>
      <c r="J716" s="35">
        <v>50</v>
      </c>
      <c r="K716" s="36"/>
      <c r="L716" s="36"/>
      <c r="M716" s="36"/>
      <c r="N716" s="36"/>
      <c r="O716" s="36"/>
      <c r="P716" s="36"/>
      <c r="Q716" s="36"/>
      <c r="R716" s="36"/>
      <c r="S716" s="36"/>
      <c r="T716" s="36"/>
    </row>
    <row r="717" spans="1:20" ht="15.75">
      <c r="A717" s="13">
        <v>63340</v>
      </c>
      <c r="B717" s="44">
        <f t="shared" si="2"/>
        <v>31</v>
      </c>
      <c r="C717" s="35">
        <v>194.20500000000001</v>
      </c>
      <c r="D717" s="35">
        <v>267.46600000000001</v>
      </c>
      <c r="E717" s="41">
        <v>812.32899999999995</v>
      </c>
      <c r="F717" s="35">
        <v>1274</v>
      </c>
      <c r="G717" s="35">
        <v>75</v>
      </c>
      <c r="H717" s="43">
        <v>600</v>
      </c>
      <c r="I717" s="35">
        <v>695</v>
      </c>
      <c r="J717" s="35">
        <v>50</v>
      </c>
      <c r="K717" s="36"/>
      <c r="L717" s="36"/>
      <c r="M717" s="36"/>
      <c r="N717" s="36"/>
      <c r="O717" s="36"/>
      <c r="P717" s="36"/>
      <c r="Q717" s="36"/>
      <c r="R717" s="36"/>
      <c r="S717" s="36"/>
      <c r="T717" s="36"/>
    </row>
    <row r="718" spans="1:20" ht="15.75">
      <c r="A718" s="13">
        <v>63370</v>
      </c>
      <c r="B718" s="44">
        <f t="shared" si="2"/>
        <v>30</v>
      </c>
      <c r="C718" s="35">
        <v>194.20500000000001</v>
      </c>
      <c r="D718" s="35">
        <v>267.46600000000001</v>
      </c>
      <c r="E718" s="41">
        <v>812.32899999999995</v>
      </c>
      <c r="F718" s="35">
        <v>1274</v>
      </c>
      <c r="G718" s="35">
        <v>50</v>
      </c>
      <c r="H718" s="43">
        <v>600</v>
      </c>
      <c r="I718" s="35">
        <v>695</v>
      </c>
      <c r="J718" s="35">
        <v>50</v>
      </c>
      <c r="K718" s="36"/>
      <c r="L718" s="36"/>
      <c r="M718" s="36"/>
      <c r="N718" s="36"/>
      <c r="O718" s="36"/>
      <c r="P718" s="36"/>
      <c r="Q718" s="36"/>
      <c r="R718" s="36"/>
      <c r="S718" s="36"/>
      <c r="T718" s="36"/>
    </row>
    <row r="719" spans="1:20" ht="15.75">
      <c r="A719" s="13">
        <v>63401</v>
      </c>
      <c r="B719" s="44">
        <f t="shared" si="2"/>
        <v>31</v>
      </c>
      <c r="C719" s="35">
        <v>194.20500000000001</v>
      </c>
      <c r="D719" s="35">
        <v>267.46600000000001</v>
      </c>
      <c r="E719" s="41">
        <v>812.32899999999995</v>
      </c>
      <c r="F719" s="35">
        <v>1274</v>
      </c>
      <c r="G719" s="35">
        <v>50</v>
      </c>
      <c r="H719" s="43">
        <v>600</v>
      </c>
      <c r="I719" s="35">
        <v>695</v>
      </c>
      <c r="J719" s="35">
        <v>0</v>
      </c>
      <c r="K719" s="36"/>
      <c r="L719" s="36"/>
      <c r="M719" s="36"/>
      <c r="N719" s="36"/>
      <c r="O719" s="36"/>
      <c r="P719" s="36"/>
      <c r="Q719" s="36"/>
      <c r="R719" s="36"/>
      <c r="S719" s="36"/>
      <c r="T719" s="36"/>
    </row>
    <row r="720" spans="1:20" ht="15.75">
      <c r="A720" s="13">
        <v>63432</v>
      </c>
      <c r="B720" s="44">
        <f t="shared" si="2"/>
        <v>31</v>
      </c>
      <c r="C720" s="35">
        <v>194.20500000000001</v>
      </c>
      <c r="D720" s="35">
        <v>267.46600000000001</v>
      </c>
      <c r="E720" s="41">
        <v>812.32899999999995</v>
      </c>
      <c r="F720" s="35">
        <v>1274</v>
      </c>
      <c r="G720" s="35">
        <v>50</v>
      </c>
      <c r="H720" s="43">
        <v>600</v>
      </c>
      <c r="I720" s="35">
        <v>695</v>
      </c>
      <c r="J720" s="35">
        <v>0</v>
      </c>
      <c r="K720" s="36"/>
      <c r="L720" s="36"/>
      <c r="M720" s="36"/>
      <c r="N720" s="36"/>
      <c r="O720" s="36"/>
      <c r="P720" s="36"/>
      <c r="Q720" s="36"/>
      <c r="R720" s="36"/>
      <c r="S720" s="36"/>
      <c r="T720" s="36"/>
    </row>
    <row r="721" spans="1:20" ht="15.75">
      <c r="A721" s="13">
        <v>63462</v>
      </c>
      <c r="B721" s="44">
        <f t="shared" si="2"/>
        <v>30</v>
      </c>
      <c r="C721" s="35">
        <v>194.20500000000001</v>
      </c>
      <c r="D721" s="35">
        <v>267.46600000000001</v>
      </c>
      <c r="E721" s="41">
        <v>812.32899999999995</v>
      </c>
      <c r="F721" s="35">
        <v>1274</v>
      </c>
      <c r="G721" s="35">
        <v>50</v>
      </c>
      <c r="H721" s="43">
        <v>600</v>
      </c>
      <c r="I721" s="35">
        <v>695</v>
      </c>
      <c r="J721" s="35">
        <v>0</v>
      </c>
      <c r="K721" s="36"/>
      <c r="L721" s="36"/>
      <c r="M721" s="36"/>
      <c r="N721" s="36"/>
      <c r="O721" s="36"/>
      <c r="P721" s="36"/>
      <c r="Q721" s="36"/>
      <c r="R721" s="36"/>
      <c r="S721" s="36"/>
      <c r="T721" s="36"/>
    </row>
    <row r="722" spans="1:20" ht="15.75">
      <c r="A722" s="13">
        <v>63493</v>
      </c>
      <c r="B722" s="44">
        <f t="shared" si="2"/>
        <v>31</v>
      </c>
      <c r="C722" s="35">
        <v>131.881</v>
      </c>
      <c r="D722" s="35">
        <v>277.16699999999997</v>
      </c>
      <c r="E722" s="41">
        <v>829.952</v>
      </c>
      <c r="F722" s="35">
        <v>1239</v>
      </c>
      <c r="G722" s="35">
        <v>75</v>
      </c>
      <c r="H722" s="43">
        <v>600</v>
      </c>
      <c r="I722" s="35">
        <v>695</v>
      </c>
      <c r="J722" s="35">
        <v>0</v>
      </c>
      <c r="K722" s="36"/>
      <c r="L722" s="36"/>
      <c r="M722" s="36"/>
      <c r="N722" s="36"/>
      <c r="O722" s="36"/>
      <c r="P722" s="36"/>
      <c r="Q722" s="36"/>
      <c r="R722" s="36"/>
      <c r="S722" s="36"/>
      <c r="T722" s="36"/>
    </row>
    <row r="723" spans="1:20" ht="15.75">
      <c r="A723" s="13">
        <v>63523</v>
      </c>
      <c r="B723" s="44">
        <f t="shared" si="2"/>
        <v>30</v>
      </c>
      <c r="C723" s="35">
        <v>122.58</v>
      </c>
      <c r="D723" s="35">
        <v>297.94099999999997</v>
      </c>
      <c r="E723" s="41">
        <v>729.47900000000004</v>
      </c>
      <c r="F723" s="35">
        <v>1150</v>
      </c>
      <c r="G723" s="35">
        <v>100</v>
      </c>
      <c r="H723" s="43">
        <v>600</v>
      </c>
      <c r="I723" s="35">
        <v>695</v>
      </c>
      <c r="J723" s="35">
        <v>50</v>
      </c>
      <c r="K723" s="36"/>
      <c r="L723" s="36"/>
      <c r="M723" s="36"/>
      <c r="N723" s="36"/>
      <c r="O723" s="36"/>
      <c r="P723" s="36"/>
      <c r="Q723" s="36"/>
      <c r="R723" s="36"/>
      <c r="S723" s="36"/>
      <c r="T723" s="36"/>
    </row>
    <row r="724" spans="1:20" ht="15.75">
      <c r="A724" s="13">
        <v>63554</v>
      </c>
      <c r="B724" s="44">
        <f t="shared" si="2"/>
        <v>31</v>
      </c>
      <c r="C724" s="35">
        <v>122.58</v>
      </c>
      <c r="D724" s="35">
        <v>297.94099999999997</v>
      </c>
      <c r="E724" s="41">
        <v>729.47900000000004</v>
      </c>
      <c r="F724" s="35">
        <v>1150</v>
      </c>
      <c r="G724" s="35">
        <v>100</v>
      </c>
      <c r="H724" s="43">
        <v>600</v>
      </c>
      <c r="I724" s="35">
        <v>695</v>
      </c>
      <c r="J724" s="35">
        <v>50</v>
      </c>
      <c r="K724" s="36"/>
      <c r="L724" s="36"/>
      <c r="M724" s="36"/>
      <c r="N724" s="36"/>
      <c r="O724" s="36"/>
      <c r="P724" s="36"/>
      <c r="Q724" s="36"/>
      <c r="R724" s="36"/>
      <c r="S724" s="36"/>
      <c r="T724" s="36"/>
    </row>
    <row r="725" spans="1:20" ht="15.75">
      <c r="A725" s="13">
        <v>63585</v>
      </c>
      <c r="B725" s="44">
        <f t="shared" si="2"/>
        <v>31</v>
      </c>
      <c r="C725" s="35">
        <v>122.58</v>
      </c>
      <c r="D725" s="35">
        <v>297.94099999999997</v>
      </c>
      <c r="E725" s="41">
        <v>729.47900000000004</v>
      </c>
      <c r="F725" s="35">
        <v>1150</v>
      </c>
      <c r="G725" s="35">
        <v>100</v>
      </c>
      <c r="H725" s="43">
        <v>600</v>
      </c>
      <c r="I725" s="35">
        <v>695</v>
      </c>
      <c r="J725" s="35">
        <v>50</v>
      </c>
      <c r="K725" s="36"/>
      <c r="L725" s="36"/>
      <c r="M725" s="36"/>
      <c r="N725" s="36"/>
      <c r="O725" s="36"/>
      <c r="P725" s="36"/>
      <c r="Q725" s="36"/>
      <c r="R725" s="36"/>
      <c r="S725" s="36"/>
      <c r="T725" s="36"/>
    </row>
    <row r="726" spans="1:20" ht="15.75">
      <c r="A726" s="13">
        <v>63613</v>
      </c>
      <c r="B726" s="44">
        <f t="shared" si="2"/>
        <v>28</v>
      </c>
      <c r="C726" s="35">
        <v>122.58</v>
      </c>
      <c r="D726" s="35">
        <v>297.94099999999997</v>
      </c>
      <c r="E726" s="41">
        <v>729.47900000000004</v>
      </c>
      <c r="F726" s="35">
        <v>1150</v>
      </c>
      <c r="G726" s="35">
        <v>100</v>
      </c>
      <c r="H726" s="43">
        <v>600</v>
      </c>
      <c r="I726" s="35">
        <v>695</v>
      </c>
      <c r="J726" s="35">
        <v>50</v>
      </c>
      <c r="K726" s="36"/>
      <c r="L726" s="36"/>
      <c r="M726" s="36"/>
      <c r="N726" s="36"/>
      <c r="O726" s="36"/>
      <c r="P726" s="36"/>
      <c r="Q726" s="36"/>
      <c r="R726" s="36"/>
      <c r="S726" s="36"/>
      <c r="T726" s="36"/>
    </row>
    <row r="727" spans="1:20" ht="15.75">
      <c r="A727" s="13">
        <v>63644</v>
      </c>
      <c r="B727" s="44">
        <f t="shared" si="2"/>
        <v>31</v>
      </c>
      <c r="C727" s="35">
        <v>122.58</v>
      </c>
      <c r="D727" s="35">
        <v>297.94099999999997</v>
      </c>
      <c r="E727" s="41">
        <v>729.47900000000004</v>
      </c>
      <c r="F727" s="35">
        <v>1150</v>
      </c>
      <c r="G727" s="35">
        <v>100</v>
      </c>
      <c r="H727" s="43">
        <v>600</v>
      </c>
      <c r="I727" s="35">
        <v>695</v>
      </c>
      <c r="J727" s="35">
        <v>50</v>
      </c>
      <c r="K727" s="36"/>
      <c r="L727" s="36"/>
      <c r="M727" s="36"/>
      <c r="N727" s="36"/>
      <c r="O727" s="36"/>
      <c r="P727" s="36"/>
      <c r="Q727" s="36"/>
      <c r="R727" s="36"/>
      <c r="S727" s="36"/>
      <c r="T727" s="36"/>
    </row>
    <row r="728" spans="1:20" ht="15.75">
      <c r="A728" s="13">
        <v>63674</v>
      </c>
      <c r="B728" s="44">
        <f t="shared" si="2"/>
        <v>30</v>
      </c>
      <c r="C728" s="35">
        <v>141.29300000000001</v>
      </c>
      <c r="D728" s="35">
        <v>267.99299999999999</v>
      </c>
      <c r="E728" s="41">
        <v>829.71400000000006</v>
      </c>
      <c r="F728" s="35">
        <v>1239</v>
      </c>
      <c r="G728" s="35">
        <v>100</v>
      </c>
      <c r="H728" s="43">
        <v>600</v>
      </c>
      <c r="I728" s="35">
        <v>695</v>
      </c>
      <c r="J728" s="35">
        <v>50</v>
      </c>
      <c r="K728" s="36"/>
      <c r="L728" s="36"/>
      <c r="M728" s="36"/>
      <c r="N728" s="36"/>
      <c r="O728" s="36"/>
      <c r="P728" s="36"/>
      <c r="Q728" s="36"/>
      <c r="R728" s="36"/>
      <c r="S728" s="36"/>
      <c r="T728" s="36"/>
    </row>
    <row r="729" spans="1:20" ht="15.75">
      <c r="A729" s="13">
        <v>63705</v>
      </c>
      <c r="B729" s="44">
        <f t="shared" si="2"/>
        <v>31</v>
      </c>
      <c r="C729" s="35">
        <v>194.20500000000001</v>
      </c>
      <c r="D729" s="35">
        <v>267.46600000000001</v>
      </c>
      <c r="E729" s="41">
        <v>812.32899999999995</v>
      </c>
      <c r="F729" s="35">
        <v>1274</v>
      </c>
      <c r="G729" s="35">
        <v>75</v>
      </c>
      <c r="H729" s="43">
        <v>600</v>
      </c>
      <c r="I729" s="35">
        <v>695</v>
      </c>
      <c r="J729" s="35">
        <v>50</v>
      </c>
      <c r="K729" s="36"/>
      <c r="L729" s="36"/>
      <c r="M729" s="36"/>
      <c r="N729" s="36"/>
      <c r="O729" s="36"/>
      <c r="P729" s="36"/>
      <c r="Q729" s="36"/>
      <c r="R729" s="36"/>
      <c r="S729" s="36"/>
      <c r="T729" s="36"/>
    </row>
    <row r="730" spans="1:20" ht="15.75">
      <c r="A730" s="13">
        <v>63735</v>
      </c>
      <c r="B730" s="44">
        <f t="shared" si="2"/>
        <v>30</v>
      </c>
      <c r="C730" s="35">
        <v>194.20500000000001</v>
      </c>
      <c r="D730" s="35">
        <v>267.46600000000001</v>
      </c>
      <c r="E730" s="41">
        <v>812.32899999999995</v>
      </c>
      <c r="F730" s="35">
        <v>1274</v>
      </c>
      <c r="G730" s="35">
        <v>50</v>
      </c>
      <c r="H730" s="43">
        <v>600</v>
      </c>
      <c r="I730" s="35">
        <v>695</v>
      </c>
      <c r="J730" s="35">
        <v>50</v>
      </c>
      <c r="K730" s="36"/>
      <c r="L730" s="36"/>
      <c r="M730" s="36"/>
      <c r="N730" s="36"/>
      <c r="O730" s="36"/>
      <c r="P730" s="36"/>
      <c r="Q730" s="36"/>
      <c r="R730" s="36"/>
      <c r="S730" s="36"/>
      <c r="T730" s="36"/>
    </row>
    <row r="731" spans="1:20" ht="15.75">
      <c r="A731" s="13">
        <v>63766</v>
      </c>
      <c r="B731" s="44">
        <f t="shared" si="2"/>
        <v>31</v>
      </c>
      <c r="C731" s="35">
        <v>194.20500000000001</v>
      </c>
      <c r="D731" s="35">
        <v>267.46600000000001</v>
      </c>
      <c r="E731" s="41">
        <v>812.32899999999995</v>
      </c>
      <c r="F731" s="35">
        <v>1274</v>
      </c>
      <c r="G731" s="35">
        <v>50</v>
      </c>
      <c r="H731" s="43">
        <v>600</v>
      </c>
      <c r="I731" s="35">
        <v>695</v>
      </c>
      <c r="J731" s="35">
        <v>0</v>
      </c>
      <c r="K731" s="36"/>
      <c r="L731" s="36"/>
      <c r="M731" s="36"/>
      <c r="N731" s="36"/>
      <c r="O731" s="36"/>
      <c r="P731" s="36"/>
      <c r="Q731" s="36"/>
      <c r="R731" s="36"/>
      <c r="S731" s="36"/>
      <c r="T731" s="36"/>
    </row>
    <row r="732" spans="1:20" ht="15.75">
      <c r="A732" s="13">
        <v>63797</v>
      </c>
      <c r="B732" s="44">
        <f t="shared" si="2"/>
        <v>31</v>
      </c>
      <c r="C732" s="35">
        <v>194.20500000000001</v>
      </c>
      <c r="D732" s="35">
        <v>267.46600000000001</v>
      </c>
      <c r="E732" s="41">
        <v>812.32899999999995</v>
      </c>
      <c r="F732" s="35">
        <v>1274</v>
      </c>
      <c r="G732" s="35">
        <v>50</v>
      </c>
      <c r="H732" s="43">
        <v>600</v>
      </c>
      <c r="I732" s="35">
        <v>695</v>
      </c>
      <c r="J732" s="35">
        <v>0</v>
      </c>
      <c r="K732" s="36"/>
      <c r="L732" s="36"/>
      <c r="M732" s="36"/>
      <c r="N732" s="36"/>
      <c r="O732" s="36"/>
      <c r="P732" s="36"/>
      <c r="Q732" s="36"/>
      <c r="R732" s="36"/>
      <c r="S732" s="36"/>
      <c r="T732" s="36"/>
    </row>
    <row r="733" spans="1:20" ht="15.75">
      <c r="A733" s="13">
        <v>63827</v>
      </c>
      <c r="B733" s="44">
        <f t="shared" si="2"/>
        <v>30</v>
      </c>
      <c r="C733" s="35">
        <v>194.20500000000001</v>
      </c>
      <c r="D733" s="35">
        <v>267.46600000000001</v>
      </c>
      <c r="E733" s="41">
        <v>812.32899999999995</v>
      </c>
      <c r="F733" s="35">
        <v>1274</v>
      </c>
      <c r="G733" s="35">
        <v>50</v>
      </c>
      <c r="H733" s="43">
        <v>600</v>
      </c>
      <c r="I733" s="35">
        <v>695</v>
      </c>
      <c r="J733" s="35">
        <v>0</v>
      </c>
      <c r="K733" s="36"/>
      <c r="L733" s="36"/>
      <c r="M733" s="36"/>
      <c r="N733" s="36"/>
      <c r="O733" s="36"/>
      <c r="P733" s="36"/>
      <c r="Q733" s="36"/>
      <c r="R733" s="36"/>
      <c r="S733" s="36"/>
      <c r="T733" s="36"/>
    </row>
    <row r="734" spans="1:20" ht="15.75">
      <c r="A734" s="13">
        <v>63858</v>
      </c>
      <c r="B734" s="44">
        <f t="shared" si="2"/>
        <v>31</v>
      </c>
      <c r="C734" s="35">
        <v>131.881</v>
      </c>
      <c r="D734" s="35">
        <v>277.16699999999997</v>
      </c>
      <c r="E734" s="41">
        <v>829.952</v>
      </c>
      <c r="F734" s="35">
        <v>1239</v>
      </c>
      <c r="G734" s="35">
        <v>75</v>
      </c>
      <c r="H734" s="43">
        <v>600</v>
      </c>
      <c r="I734" s="35">
        <v>695</v>
      </c>
      <c r="J734" s="35">
        <v>0</v>
      </c>
      <c r="K734" s="36"/>
      <c r="L734" s="36"/>
      <c r="M734" s="36"/>
      <c r="N734" s="36"/>
      <c r="O734" s="36"/>
      <c r="P734" s="36"/>
      <c r="Q734" s="36"/>
      <c r="R734" s="36"/>
      <c r="S734" s="36"/>
      <c r="T734" s="36"/>
    </row>
    <row r="735" spans="1:20" ht="15.75">
      <c r="A735" s="13">
        <v>63888</v>
      </c>
      <c r="B735" s="44">
        <f t="shared" si="2"/>
        <v>30</v>
      </c>
      <c r="C735" s="35">
        <v>122.58</v>
      </c>
      <c r="D735" s="35">
        <v>297.94099999999997</v>
      </c>
      <c r="E735" s="41">
        <v>729.47900000000004</v>
      </c>
      <c r="F735" s="35">
        <v>1150</v>
      </c>
      <c r="G735" s="35">
        <v>100</v>
      </c>
      <c r="H735" s="43">
        <v>600</v>
      </c>
      <c r="I735" s="35">
        <v>695</v>
      </c>
      <c r="J735" s="35">
        <v>50</v>
      </c>
      <c r="K735" s="36"/>
      <c r="L735" s="36"/>
      <c r="M735" s="36"/>
      <c r="N735" s="36"/>
      <c r="O735" s="36"/>
      <c r="P735" s="36"/>
      <c r="Q735" s="36"/>
      <c r="R735" s="36"/>
      <c r="S735" s="36"/>
      <c r="T735" s="36"/>
    </row>
    <row r="736" spans="1:20" ht="15.75">
      <c r="A736" s="13">
        <v>63919</v>
      </c>
      <c r="B736" s="44">
        <f t="shared" si="2"/>
        <v>31</v>
      </c>
      <c r="C736" s="35">
        <v>122.58</v>
      </c>
      <c r="D736" s="35">
        <v>297.94099999999997</v>
      </c>
      <c r="E736" s="41">
        <v>729.47900000000004</v>
      </c>
      <c r="F736" s="35">
        <v>1150</v>
      </c>
      <c r="G736" s="35">
        <v>100</v>
      </c>
      <c r="H736" s="43">
        <v>600</v>
      </c>
      <c r="I736" s="35">
        <v>695</v>
      </c>
      <c r="J736" s="35">
        <v>50</v>
      </c>
      <c r="K736" s="36"/>
      <c r="L736" s="36"/>
      <c r="M736" s="36"/>
      <c r="N736" s="36"/>
      <c r="O736" s="36"/>
      <c r="P736" s="36"/>
      <c r="Q736" s="36"/>
      <c r="R736" s="36"/>
      <c r="S736" s="36"/>
      <c r="T736" s="36"/>
    </row>
    <row r="737" spans="1:20" ht="15.75">
      <c r="A737" s="13">
        <v>63950</v>
      </c>
      <c r="B737" s="44">
        <f t="shared" si="2"/>
        <v>31</v>
      </c>
      <c r="C737" s="35">
        <v>122.58</v>
      </c>
      <c r="D737" s="35">
        <v>297.94099999999997</v>
      </c>
      <c r="E737" s="41">
        <v>729.47900000000004</v>
      </c>
      <c r="F737" s="35">
        <v>1150</v>
      </c>
      <c r="G737" s="35">
        <v>100</v>
      </c>
      <c r="H737" s="43">
        <v>600</v>
      </c>
      <c r="I737" s="35">
        <v>695</v>
      </c>
      <c r="J737" s="35">
        <v>50</v>
      </c>
      <c r="K737" s="36"/>
      <c r="L737" s="36"/>
      <c r="M737" s="36"/>
      <c r="N737" s="36"/>
      <c r="O737" s="36"/>
      <c r="P737" s="36"/>
      <c r="Q737" s="36"/>
      <c r="R737" s="36"/>
      <c r="S737" s="36"/>
      <c r="T737" s="36"/>
    </row>
    <row r="738" spans="1:20" ht="15.75">
      <c r="A738" s="13">
        <v>63978</v>
      </c>
      <c r="B738" s="44">
        <f t="shared" si="2"/>
        <v>28</v>
      </c>
      <c r="C738" s="35">
        <v>122.58</v>
      </c>
      <c r="D738" s="35">
        <v>297.94099999999997</v>
      </c>
      <c r="E738" s="41">
        <v>729.47900000000004</v>
      </c>
      <c r="F738" s="35">
        <v>1150</v>
      </c>
      <c r="G738" s="35">
        <v>100</v>
      </c>
      <c r="H738" s="43">
        <v>600</v>
      </c>
      <c r="I738" s="35">
        <v>695</v>
      </c>
      <c r="J738" s="35">
        <v>50</v>
      </c>
      <c r="K738" s="36"/>
      <c r="L738" s="36"/>
      <c r="M738" s="36"/>
      <c r="N738" s="36"/>
      <c r="O738" s="36"/>
      <c r="P738" s="36"/>
      <c r="Q738" s="36"/>
      <c r="R738" s="36"/>
      <c r="S738" s="36"/>
      <c r="T738" s="36"/>
    </row>
    <row r="739" spans="1:20" ht="15.75">
      <c r="A739" s="13">
        <v>64009</v>
      </c>
      <c r="B739" s="44">
        <f t="shared" si="2"/>
        <v>31</v>
      </c>
      <c r="C739" s="35">
        <v>122.58</v>
      </c>
      <c r="D739" s="35">
        <v>297.94099999999997</v>
      </c>
      <c r="E739" s="41">
        <v>729.47900000000004</v>
      </c>
      <c r="F739" s="35">
        <v>1150</v>
      </c>
      <c r="G739" s="35">
        <v>100</v>
      </c>
      <c r="H739" s="43">
        <v>600</v>
      </c>
      <c r="I739" s="35">
        <v>695</v>
      </c>
      <c r="J739" s="35">
        <v>50</v>
      </c>
      <c r="K739" s="36"/>
      <c r="L739" s="36"/>
      <c r="M739" s="36"/>
      <c r="N739" s="36"/>
      <c r="O739" s="36"/>
      <c r="P739" s="36"/>
      <c r="Q739" s="36"/>
      <c r="R739" s="36"/>
      <c r="S739" s="36"/>
      <c r="T739" s="36"/>
    </row>
    <row r="740" spans="1:20" ht="15.75">
      <c r="A740" s="13">
        <v>64039</v>
      </c>
      <c r="B740" s="44">
        <f t="shared" si="2"/>
        <v>30</v>
      </c>
      <c r="C740" s="35">
        <v>141.29300000000001</v>
      </c>
      <c r="D740" s="35">
        <v>267.99299999999999</v>
      </c>
      <c r="E740" s="41">
        <v>829.71400000000006</v>
      </c>
      <c r="F740" s="35">
        <v>1239</v>
      </c>
      <c r="G740" s="35">
        <v>100</v>
      </c>
      <c r="H740" s="43">
        <v>600</v>
      </c>
      <c r="I740" s="35">
        <v>695</v>
      </c>
      <c r="J740" s="35">
        <v>50</v>
      </c>
      <c r="K740" s="36"/>
      <c r="L740" s="36"/>
      <c r="M740" s="36"/>
      <c r="N740" s="36"/>
      <c r="O740" s="36"/>
      <c r="P740" s="36"/>
      <c r="Q740" s="36"/>
      <c r="R740" s="36"/>
      <c r="S740" s="36"/>
      <c r="T740" s="36"/>
    </row>
    <row r="741" spans="1:20" ht="15.75">
      <c r="A741" s="13">
        <v>64070</v>
      </c>
      <c r="B741" s="44">
        <f t="shared" si="2"/>
        <v>31</v>
      </c>
      <c r="C741" s="35">
        <v>194.20500000000001</v>
      </c>
      <c r="D741" s="35">
        <v>267.46600000000001</v>
      </c>
      <c r="E741" s="41">
        <v>812.32899999999995</v>
      </c>
      <c r="F741" s="35">
        <v>1274</v>
      </c>
      <c r="G741" s="35">
        <v>75</v>
      </c>
      <c r="H741" s="43">
        <v>600</v>
      </c>
      <c r="I741" s="35">
        <v>695</v>
      </c>
      <c r="J741" s="35">
        <v>50</v>
      </c>
      <c r="K741" s="36"/>
      <c r="L741" s="36"/>
      <c r="M741" s="36"/>
      <c r="N741" s="36"/>
      <c r="O741" s="36"/>
      <c r="P741" s="36"/>
      <c r="Q741" s="36"/>
      <c r="R741" s="36"/>
      <c r="S741" s="36"/>
      <c r="T741" s="36"/>
    </row>
    <row r="742" spans="1:20" ht="15.75">
      <c r="A742" s="13">
        <v>64100</v>
      </c>
      <c r="B742" s="44">
        <f t="shared" si="2"/>
        <v>30</v>
      </c>
      <c r="C742" s="35">
        <v>194.20500000000001</v>
      </c>
      <c r="D742" s="35">
        <v>267.46600000000001</v>
      </c>
      <c r="E742" s="41">
        <v>812.32899999999995</v>
      </c>
      <c r="F742" s="35">
        <v>1274</v>
      </c>
      <c r="G742" s="35">
        <v>50</v>
      </c>
      <c r="H742" s="43">
        <v>600</v>
      </c>
      <c r="I742" s="35">
        <v>695</v>
      </c>
      <c r="J742" s="35">
        <v>50</v>
      </c>
      <c r="K742" s="36"/>
      <c r="L742" s="36"/>
      <c r="M742" s="36"/>
      <c r="N742" s="36"/>
      <c r="O742" s="36"/>
      <c r="P742" s="36"/>
      <c r="Q742" s="36"/>
      <c r="R742" s="36"/>
      <c r="S742" s="36"/>
      <c r="T742" s="36"/>
    </row>
    <row r="743" spans="1:20" ht="15.75">
      <c r="A743" s="13">
        <v>64131</v>
      </c>
      <c r="B743" s="44">
        <f t="shared" si="2"/>
        <v>31</v>
      </c>
      <c r="C743" s="35">
        <v>194.20500000000001</v>
      </c>
      <c r="D743" s="35">
        <v>267.46600000000001</v>
      </c>
      <c r="E743" s="41">
        <v>812.32899999999995</v>
      </c>
      <c r="F743" s="35">
        <v>1274</v>
      </c>
      <c r="G743" s="35">
        <v>50</v>
      </c>
      <c r="H743" s="43">
        <v>600</v>
      </c>
      <c r="I743" s="35">
        <v>695</v>
      </c>
      <c r="J743" s="35">
        <v>0</v>
      </c>
      <c r="K743" s="36"/>
      <c r="L743" s="36"/>
      <c r="M743" s="36"/>
      <c r="N743" s="36"/>
      <c r="O743" s="36"/>
      <c r="P743" s="36"/>
      <c r="Q743" s="36"/>
      <c r="R743" s="36"/>
      <c r="S743" s="36"/>
      <c r="T743" s="36"/>
    </row>
    <row r="744" spans="1:20" ht="15.75">
      <c r="A744" s="13">
        <v>64162</v>
      </c>
      <c r="B744" s="44">
        <f t="shared" si="2"/>
        <v>31</v>
      </c>
      <c r="C744" s="35">
        <v>194.20500000000001</v>
      </c>
      <c r="D744" s="35">
        <v>267.46600000000001</v>
      </c>
      <c r="E744" s="41">
        <v>812.32899999999995</v>
      </c>
      <c r="F744" s="35">
        <v>1274</v>
      </c>
      <c r="G744" s="35">
        <v>50</v>
      </c>
      <c r="H744" s="43">
        <v>600</v>
      </c>
      <c r="I744" s="35">
        <v>695</v>
      </c>
      <c r="J744" s="35">
        <v>0</v>
      </c>
      <c r="K744" s="36"/>
      <c r="L744" s="36"/>
      <c r="M744" s="36"/>
      <c r="N744" s="36"/>
      <c r="O744" s="36"/>
      <c r="P744" s="36"/>
      <c r="Q744" s="36"/>
      <c r="R744" s="36"/>
      <c r="S744" s="36"/>
      <c r="T744" s="36"/>
    </row>
    <row r="745" spans="1:20" ht="15.75">
      <c r="A745" s="13">
        <v>64192</v>
      </c>
      <c r="B745" s="44">
        <f t="shared" si="2"/>
        <v>30</v>
      </c>
      <c r="C745" s="35">
        <v>194.20500000000001</v>
      </c>
      <c r="D745" s="35">
        <v>267.46600000000001</v>
      </c>
      <c r="E745" s="41">
        <v>812.32899999999995</v>
      </c>
      <c r="F745" s="35">
        <v>1274</v>
      </c>
      <c r="G745" s="35">
        <v>50</v>
      </c>
      <c r="H745" s="43">
        <v>600</v>
      </c>
      <c r="I745" s="35">
        <v>695</v>
      </c>
      <c r="J745" s="35">
        <v>0</v>
      </c>
      <c r="K745" s="36"/>
      <c r="L745" s="36"/>
      <c r="M745" s="36"/>
      <c r="N745" s="36"/>
      <c r="O745" s="36"/>
      <c r="P745" s="36"/>
      <c r="Q745" s="36"/>
      <c r="R745" s="36"/>
      <c r="S745" s="36"/>
      <c r="T745" s="36"/>
    </row>
    <row r="746" spans="1:20" ht="15.75">
      <c r="A746" s="13">
        <v>64223</v>
      </c>
      <c r="B746" s="44">
        <f t="shared" si="2"/>
        <v>31</v>
      </c>
      <c r="C746" s="35">
        <v>131.881</v>
      </c>
      <c r="D746" s="35">
        <v>277.16699999999997</v>
      </c>
      <c r="E746" s="41">
        <v>829.952</v>
      </c>
      <c r="F746" s="35">
        <v>1239</v>
      </c>
      <c r="G746" s="35">
        <v>75</v>
      </c>
      <c r="H746" s="43">
        <v>600</v>
      </c>
      <c r="I746" s="35">
        <v>695</v>
      </c>
      <c r="J746" s="35">
        <v>0</v>
      </c>
      <c r="K746" s="36"/>
      <c r="L746" s="36"/>
      <c r="M746" s="36"/>
      <c r="N746" s="36"/>
      <c r="O746" s="36"/>
      <c r="P746" s="36"/>
      <c r="Q746" s="36"/>
      <c r="R746" s="36"/>
      <c r="S746" s="36"/>
      <c r="T746" s="36"/>
    </row>
    <row r="747" spans="1:20" ht="15.75">
      <c r="A747" s="13">
        <v>64253</v>
      </c>
      <c r="B747" s="44">
        <f t="shared" si="2"/>
        <v>30</v>
      </c>
      <c r="C747" s="35">
        <v>122.58</v>
      </c>
      <c r="D747" s="35">
        <v>297.94099999999997</v>
      </c>
      <c r="E747" s="41">
        <v>729.47900000000004</v>
      </c>
      <c r="F747" s="35">
        <v>1150</v>
      </c>
      <c r="G747" s="35">
        <v>100</v>
      </c>
      <c r="H747" s="43">
        <v>600</v>
      </c>
      <c r="I747" s="35">
        <v>695</v>
      </c>
      <c r="J747" s="35">
        <v>50</v>
      </c>
      <c r="K747" s="36"/>
      <c r="L747" s="36"/>
      <c r="M747" s="36"/>
      <c r="N747" s="36"/>
      <c r="O747" s="36"/>
      <c r="P747" s="36"/>
      <c r="Q747" s="36"/>
      <c r="R747" s="36"/>
      <c r="S747" s="36"/>
      <c r="T747" s="36"/>
    </row>
    <row r="748" spans="1:20" ht="15.75">
      <c r="A748" s="13">
        <v>64284</v>
      </c>
      <c r="B748" s="44">
        <f t="shared" si="2"/>
        <v>31</v>
      </c>
      <c r="C748" s="35">
        <v>122.58</v>
      </c>
      <c r="D748" s="35">
        <v>297.94099999999997</v>
      </c>
      <c r="E748" s="41">
        <v>729.47900000000004</v>
      </c>
      <c r="F748" s="35">
        <v>1150</v>
      </c>
      <c r="G748" s="35">
        <v>100</v>
      </c>
      <c r="H748" s="43">
        <v>600</v>
      </c>
      <c r="I748" s="35">
        <v>695</v>
      </c>
      <c r="J748" s="35">
        <v>50</v>
      </c>
      <c r="K748" s="36"/>
      <c r="L748" s="36"/>
      <c r="M748" s="36"/>
      <c r="N748" s="36"/>
      <c r="O748" s="36"/>
      <c r="P748" s="36"/>
      <c r="Q748" s="36"/>
      <c r="R748" s="36"/>
      <c r="S748" s="36"/>
      <c r="T748" s="36"/>
    </row>
    <row r="749" spans="1:20" ht="15.75">
      <c r="A749" s="13">
        <v>64315</v>
      </c>
      <c r="B749" s="44">
        <f t="shared" si="2"/>
        <v>31</v>
      </c>
      <c r="C749" s="35">
        <v>122.58</v>
      </c>
      <c r="D749" s="35">
        <v>297.94099999999997</v>
      </c>
      <c r="E749" s="41">
        <v>729.47900000000004</v>
      </c>
      <c r="F749" s="35">
        <v>1150</v>
      </c>
      <c r="G749" s="35">
        <v>100</v>
      </c>
      <c r="H749" s="43">
        <v>600</v>
      </c>
      <c r="I749" s="35">
        <v>695</v>
      </c>
      <c r="J749" s="35">
        <v>50</v>
      </c>
      <c r="K749" s="36"/>
      <c r="L749" s="36"/>
      <c r="M749" s="36"/>
      <c r="N749" s="36"/>
      <c r="O749" s="36"/>
      <c r="P749" s="36"/>
      <c r="Q749" s="36"/>
      <c r="R749" s="36"/>
      <c r="S749" s="36"/>
      <c r="T749" s="36"/>
    </row>
    <row r="750" spans="1:20" ht="15.75">
      <c r="A750" s="13">
        <v>64344</v>
      </c>
      <c r="B750" s="44">
        <f t="shared" si="2"/>
        <v>29</v>
      </c>
      <c r="C750" s="35">
        <v>122.58</v>
      </c>
      <c r="D750" s="35">
        <v>297.94099999999997</v>
      </c>
      <c r="E750" s="41">
        <v>729.47900000000004</v>
      </c>
      <c r="F750" s="35">
        <v>1150</v>
      </c>
      <c r="G750" s="35">
        <v>100</v>
      </c>
      <c r="H750" s="43">
        <v>600</v>
      </c>
      <c r="I750" s="35">
        <v>695</v>
      </c>
      <c r="J750" s="35">
        <v>50</v>
      </c>
      <c r="K750" s="36"/>
      <c r="L750" s="36"/>
      <c r="M750" s="36"/>
      <c r="N750" s="36"/>
      <c r="O750" s="36"/>
      <c r="P750" s="36"/>
      <c r="Q750" s="36"/>
      <c r="R750" s="36"/>
      <c r="S750" s="36"/>
      <c r="T750" s="36"/>
    </row>
    <row r="751" spans="1:20" ht="15.75">
      <c r="A751" s="13">
        <v>64375</v>
      </c>
      <c r="B751" s="44">
        <f t="shared" si="2"/>
        <v>31</v>
      </c>
      <c r="C751" s="35">
        <v>122.58</v>
      </c>
      <c r="D751" s="35">
        <v>297.94099999999997</v>
      </c>
      <c r="E751" s="41">
        <v>729.47900000000004</v>
      </c>
      <c r="F751" s="35">
        <v>1150</v>
      </c>
      <c r="G751" s="35">
        <v>100</v>
      </c>
      <c r="H751" s="43">
        <v>600</v>
      </c>
      <c r="I751" s="35">
        <v>695</v>
      </c>
      <c r="J751" s="35">
        <v>50</v>
      </c>
      <c r="K751" s="36"/>
      <c r="L751" s="36"/>
      <c r="M751" s="36"/>
      <c r="N751" s="36"/>
      <c r="O751" s="36"/>
      <c r="P751" s="36"/>
      <c r="Q751" s="36"/>
      <c r="R751" s="36"/>
      <c r="S751" s="36"/>
      <c r="T751" s="36"/>
    </row>
    <row r="752" spans="1:20" ht="15.75">
      <c r="A752" s="13">
        <v>64405</v>
      </c>
      <c r="B752" s="44">
        <f t="shared" si="2"/>
        <v>30</v>
      </c>
      <c r="C752" s="35">
        <v>141.29300000000001</v>
      </c>
      <c r="D752" s="35">
        <v>267.99299999999999</v>
      </c>
      <c r="E752" s="41">
        <v>829.71400000000006</v>
      </c>
      <c r="F752" s="35">
        <v>1239</v>
      </c>
      <c r="G752" s="35">
        <v>100</v>
      </c>
      <c r="H752" s="43">
        <v>600</v>
      </c>
      <c r="I752" s="35">
        <v>695</v>
      </c>
      <c r="J752" s="35">
        <v>50</v>
      </c>
      <c r="K752" s="36"/>
      <c r="L752" s="36"/>
      <c r="M752" s="36"/>
      <c r="N752" s="36"/>
      <c r="O752" s="36"/>
      <c r="P752" s="36"/>
      <c r="Q752" s="36"/>
      <c r="R752" s="36"/>
      <c r="S752" s="36"/>
      <c r="T752" s="36"/>
    </row>
    <row r="753" spans="1:20" ht="15.75">
      <c r="A753" s="13">
        <v>64436</v>
      </c>
      <c r="B753" s="44">
        <f t="shared" si="2"/>
        <v>31</v>
      </c>
      <c r="C753" s="35">
        <v>194.20500000000001</v>
      </c>
      <c r="D753" s="35">
        <v>267.46600000000001</v>
      </c>
      <c r="E753" s="41">
        <v>812.32899999999995</v>
      </c>
      <c r="F753" s="35">
        <v>1274</v>
      </c>
      <c r="G753" s="35">
        <v>75</v>
      </c>
      <c r="H753" s="43">
        <v>600</v>
      </c>
      <c r="I753" s="35">
        <v>695</v>
      </c>
      <c r="J753" s="35">
        <v>50</v>
      </c>
      <c r="K753" s="36"/>
      <c r="L753" s="36"/>
      <c r="M753" s="36"/>
      <c r="N753" s="36"/>
      <c r="O753" s="36"/>
      <c r="P753" s="36"/>
      <c r="Q753" s="36"/>
      <c r="R753" s="36"/>
      <c r="S753" s="36"/>
      <c r="T753" s="36"/>
    </row>
    <row r="754" spans="1:20" ht="15.75">
      <c r="A754" s="13">
        <v>64466</v>
      </c>
      <c r="B754" s="44">
        <f t="shared" si="2"/>
        <v>30</v>
      </c>
      <c r="C754" s="35">
        <v>194.20500000000001</v>
      </c>
      <c r="D754" s="35">
        <v>267.46600000000001</v>
      </c>
      <c r="E754" s="41">
        <v>812.32899999999995</v>
      </c>
      <c r="F754" s="35">
        <v>1274</v>
      </c>
      <c r="G754" s="35">
        <v>50</v>
      </c>
      <c r="H754" s="43">
        <v>600</v>
      </c>
      <c r="I754" s="35">
        <v>695</v>
      </c>
      <c r="J754" s="35">
        <v>50</v>
      </c>
      <c r="K754" s="36"/>
      <c r="L754" s="36"/>
      <c r="M754" s="36"/>
      <c r="N754" s="36"/>
      <c r="O754" s="36"/>
      <c r="P754" s="36"/>
      <c r="Q754" s="36"/>
      <c r="R754" s="36"/>
      <c r="S754" s="36"/>
      <c r="T754" s="36"/>
    </row>
    <row r="755" spans="1:20" ht="15.75">
      <c r="A755" s="13">
        <v>64497</v>
      </c>
      <c r="B755" s="44">
        <f t="shared" si="2"/>
        <v>31</v>
      </c>
      <c r="C755" s="35">
        <v>194.20500000000001</v>
      </c>
      <c r="D755" s="35">
        <v>267.46600000000001</v>
      </c>
      <c r="E755" s="41">
        <v>812.32899999999995</v>
      </c>
      <c r="F755" s="35">
        <v>1274</v>
      </c>
      <c r="G755" s="35">
        <v>50</v>
      </c>
      <c r="H755" s="43">
        <v>600</v>
      </c>
      <c r="I755" s="35">
        <v>695</v>
      </c>
      <c r="J755" s="35">
        <v>0</v>
      </c>
      <c r="K755" s="36"/>
      <c r="L755" s="36"/>
      <c r="M755" s="36"/>
      <c r="N755" s="36"/>
      <c r="O755" s="36"/>
      <c r="P755" s="36"/>
      <c r="Q755" s="36"/>
      <c r="R755" s="36"/>
      <c r="S755" s="36"/>
      <c r="T755" s="36"/>
    </row>
    <row r="756" spans="1:20" ht="15.75">
      <c r="A756" s="13">
        <v>64528</v>
      </c>
      <c r="B756" s="44">
        <f t="shared" si="2"/>
        <v>31</v>
      </c>
      <c r="C756" s="35">
        <v>194.20500000000001</v>
      </c>
      <c r="D756" s="35">
        <v>267.46600000000001</v>
      </c>
      <c r="E756" s="41">
        <v>812.32899999999995</v>
      </c>
      <c r="F756" s="35">
        <v>1274</v>
      </c>
      <c r="G756" s="35">
        <v>50</v>
      </c>
      <c r="H756" s="43">
        <v>600</v>
      </c>
      <c r="I756" s="35">
        <v>695</v>
      </c>
      <c r="J756" s="35">
        <v>0</v>
      </c>
      <c r="K756" s="36"/>
      <c r="L756" s="36"/>
      <c r="M756" s="36"/>
      <c r="N756" s="36"/>
      <c r="O756" s="36"/>
      <c r="P756" s="36"/>
      <c r="Q756" s="36"/>
      <c r="R756" s="36"/>
      <c r="S756" s="36"/>
      <c r="T756" s="36"/>
    </row>
    <row r="757" spans="1:20" ht="15.75">
      <c r="A757" s="13">
        <v>64558</v>
      </c>
      <c r="B757" s="44">
        <f t="shared" si="2"/>
        <v>30</v>
      </c>
      <c r="C757" s="35">
        <v>194.20500000000001</v>
      </c>
      <c r="D757" s="35">
        <v>267.46600000000001</v>
      </c>
      <c r="E757" s="41">
        <v>812.32899999999995</v>
      </c>
      <c r="F757" s="35">
        <v>1274</v>
      </c>
      <c r="G757" s="35">
        <v>50</v>
      </c>
      <c r="H757" s="43">
        <v>600</v>
      </c>
      <c r="I757" s="35">
        <v>695</v>
      </c>
      <c r="J757" s="35">
        <v>0</v>
      </c>
      <c r="K757" s="36"/>
      <c r="L757" s="36"/>
      <c r="M757" s="36"/>
      <c r="N757" s="36"/>
      <c r="O757" s="36"/>
      <c r="P757" s="36"/>
      <c r="Q757" s="36"/>
      <c r="R757" s="36"/>
      <c r="S757" s="36"/>
      <c r="T757" s="36"/>
    </row>
    <row r="758" spans="1:20" ht="15.75">
      <c r="A758" s="13">
        <v>64589</v>
      </c>
      <c r="B758" s="44">
        <f t="shared" si="2"/>
        <v>31</v>
      </c>
      <c r="C758" s="35">
        <v>131.881</v>
      </c>
      <c r="D758" s="35">
        <v>277.16699999999997</v>
      </c>
      <c r="E758" s="41">
        <v>829.952</v>
      </c>
      <c r="F758" s="35">
        <v>1239</v>
      </c>
      <c r="G758" s="35">
        <v>75</v>
      </c>
      <c r="H758" s="43">
        <v>600</v>
      </c>
      <c r="I758" s="35">
        <v>695</v>
      </c>
      <c r="J758" s="35">
        <v>0</v>
      </c>
      <c r="K758" s="36"/>
      <c r="L758" s="36"/>
      <c r="M758" s="36"/>
      <c r="N758" s="36"/>
      <c r="O758" s="36"/>
      <c r="P758" s="36"/>
      <c r="Q758" s="36"/>
      <c r="R758" s="36"/>
      <c r="S758" s="36"/>
      <c r="T758" s="36"/>
    </row>
    <row r="759" spans="1:20" ht="15.75">
      <c r="A759" s="13">
        <v>64619</v>
      </c>
      <c r="B759" s="44">
        <f t="shared" si="2"/>
        <v>30</v>
      </c>
      <c r="C759" s="35">
        <v>122.58</v>
      </c>
      <c r="D759" s="35">
        <v>297.94099999999997</v>
      </c>
      <c r="E759" s="41">
        <v>729.47900000000004</v>
      </c>
      <c r="F759" s="35">
        <v>1150</v>
      </c>
      <c r="G759" s="35">
        <v>100</v>
      </c>
      <c r="H759" s="43">
        <v>600</v>
      </c>
      <c r="I759" s="35">
        <v>695</v>
      </c>
      <c r="J759" s="35">
        <v>50</v>
      </c>
      <c r="K759" s="36"/>
      <c r="L759" s="36"/>
      <c r="M759" s="36"/>
      <c r="N759" s="36"/>
      <c r="O759" s="36"/>
      <c r="P759" s="36"/>
      <c r="Q759" s="36"/>
      <c r="R759" s="36"/>
      <c r="S759" s="36"/>
      <c r="T759" s="36"/>
    </row>
    <row r="760" spans="1:20" ht="15.75">
      <c r="A760" s="13">
        <v>64650</v>
      </c>
      <c r="B760" s="44">
        <f t="shared" si="2"/>
        <v>31</v>
      </c>
      <c r="C760" s="35">
        <v>122.58</v>
      </c>
      <c r="D760" s="35">
        <v>297.94099999999997</v>
      </c>
      <c r="E760" s="41">
        <v>729.47900000000004</v>
      </c>
      <c r="F760" s="35">
        <v>1150</v>
      </c>
      <c r="G760" s="35">
        <v>100</v>
      </c>
      <c r="H760" s="43">
        <v>600</v>
      </c>
      <c r="I760" s="35">
        <v>695</v>
      </c>
      <c r="J760" s="35">
        <v>50</v>
      </c>
      <c r="K760" s="36"/>
      <c r="L760" s="36"/>
      <c r="M760" s="36"/>
      <c r="N760" s="36"/>
      <c r="O760" s="36"/>
      <c r="P760" s="36"/>
      <c r="Q760" s="36"/>
      <c r="R760" s="36"/>
      <c r="S760" s="36"/>
      <c r="T760" s="36"/>
    </row>
    <row r="761" spans="1:20" ht="15.75">
      <c r="A761" s="13">
        <v>64681</v>
      </c>
      <c r="B761" s="44">
        <f t="shared" si="2"/>
        <v>31</v>
      </c>
      <c r="C761" s="35">
        <v>122.58</v>
      </c>
      <c r="D761" s="35">
        <v>297.94099999999997</v>
      </c>
      <c r="E761" s="41">
        <v>729.47900000000004</v>
      </c>
      <c r="F761" s="35">
        <v>1150</v>
      </c>
      <c r="G761" s="35">
        <v>100</v>
      </c>
      <c r="H761" s="43">
        <v>600</v>
      </c>
      <c r="I761" s="35">
        <v>695</v>
      </c>
      <c r="J761" s="35">
        <v>50</v>
      </c>
      <c r="K761" s="36"/>
      <c r="L761" s="36"/>
      <c r="M761" s="36"/>
      <c r="N761" s="36"/>
      <c r="O761" s="36"/>
      <c r="P761" s="36"/>
      <c r="Q761" s="36"/>
      <c r="R761" s="36"/>
      <c r="S761" s="36"/>
      <c r="T761" s="36"/>
    </row>
    <row r="762" spans="1:20" ht="15.75">
      <c r="A762" s="13">
        <v>64709</v>
      </c>
      <c r="B762" s="44">
        <f t="shared" si="2"/>
        <v>28</v>
      </c>
      <c r="C762" s="35">
        <v>122.58</v>
      </c>
      <c r="D762" s="35">
        <v>297.94099999999997</v>
      </c>
      <c r="E762" s="41">
        <v>729.47900000000004</v>
      </c>
      <c r="F762" s="35">
        <v>1150</v>
      </c>
      <c r="G762" s="35">
        <v>100</v>
      </c>
      <c r="H762" s="43">
        <v>600</v>
      </c>
      <c r="I762" s="35">
        <v>695</v>
      </c>
      <c r="J762" s="35">
        <v>50</v>
      </c>
      <c r="K762" s="36"/>
      <c r="L762" s="36"/>
      <c r="M762" s="36"/>
      <c r="N762" s="36"/>
      <c r="O762" s="36"/>
      <c r="P762" s="36"/>
      <c r="Q762" s="36"/>
      <c r="R762" s="36"/>
      <c r="S762" s="36"/>
      <c r="T762" s="36"/>
    </row>
    <row r="763" spans="1:20" ht="15.75">
      <c r="A763" s="13">
        <v>64740</v>
      </c>
      <c r="B763" s="44">
        <f t="shared" si="2"/>
        <v>31</v>
      </c>
      <c r="C763" s="35">
        <v>122.58</v>
      </c>
      <c r="D763" s="35">
        <v>297.94099999999997</v>
      </c>
      <c r="E763" s="41">
        <v>729.47900000000004</v>
      </c>
      <c r="F763" s="35">
        <v>1150</v>
      </c>
      <c r="G763" s="35">
        <v>100</v>
      </c>
      <c r="H763" s="43">
        <v>600</v>
      </c>
      <c r="I763" s="35">
        <v>695</v>
      </c>
      <c r="J763" s="35">
        <v>50</v>
      </c>
      <c r="K763" s="36"/>
      <c r="L763" s="36"/>
      <c r="M763" s="36"/>
      <c r="N763" s="36"/>
      <c r="O763" s="36"/>
      <c r="P763" s="36"/>
      <c r="Q763" s="36"/>
      <c r="R763" s="36"/>
      <c r="S763" s="36"/>
      <c r="T763" s="36"/>
    </row>
    <row r="764" spans="1:20" ht="15.75">
      <c r="A764" s="13">
        <v>64770</v>
      </c>
      <c r="B764" s="44">
        <f t="shared" si="2"/>
        <v>30</v>
      </c>
      <c r="C764" s="35">
        <v>141.29300000000001</v>
      </c>
      <c r="D764" s="35">
        <v>267.99299999999999</v>
      </c>
      <c r="E764" s="41">
        <v>829.71400000000006</v>
      </c>
      <c r="F764" s="35">
        <v>1239</v>
      </c>
      <c r="G764" s="35">
        <v>100</v>
      </c>
      <c r="H764" s="43">
        <v>600</v>
      </c>
      <c r="I764" s="35">
        <v>695</v>
      </c>
      <c r="J764" s="35">
        <v>50</v>
      </c>
      <c r="K764" s="36"/>
      <c r="L764" s="36"/>
      <c r="M764" s="36"/>
      <c r="N764" s="36"/>
      <c r="O764" s="36"/>
      <c r="P764" s="36"/>
      <c r="Q764" s="36"/>
      <c r="R764" s="36"/>
      <c r="S764" s="36"/>
      <c r="T764" s="36"/>
    </row>
    <row r="765" spans="1:20" ht="15.75">
      <c r="A765" s="13">
        <v>64801</v>
      </c>
      <c r="B765" s="44">
        <f t="shared" si="2"/>
        <v>31</v>
      </c>
      <c r="C765" s="35">
        <v>194.20500000000001</v>
      </c>
      <c r="D765" s="35">
        <v>267.46600000000001</v>
      </c>
      <c r="E765" s="41">
        <v>812.32899999999995</v>
      </c>
      <c r="F765" s="35">
        <v>1274</v>
      </c>
      <c r="G765" s="35">
        <v>75</v>
      </c>
      <c r="H765" s="43">
        <v>600</v>
      </c>
      <c r="I765" s="35">
        <v>695</v>
      </c>
      <c r="J765" s="35">
        <v>50</v>
      </c>
      <c r="K765" s="36"/>
      <c r="L765" s="36"/>
      <c r="M765" s="36"/>
      <c r="N765" s="36"/>
      <c r="O765" s="36"/>
      <c r="P765" s="36"/>
      <c r="Q765" s="36"/>
      <c r="R765" s="36"/>
      <c r="S765" s="36"/>
      <c r="T765" s="36"/>
    </row>
    <row r="766" spans="1:20" ht="15.75">
      <c r="A766" s="13">
        <v>64831</v>
      </c>
      <c r="B766" s="44">
        <f t="shared" si="2"/>
        <v>30</v>
      </c>
      <c r="C766" s="35">
        <v>194.20500000000001</v>
      </c>
      <c r="D766" s="35">
        <v>267.46600000000001</v>
      </c>
      <c r="E766" s="41">
        <v>812.32899999999995</v>
      </c>
      <c r="F766" s="35">
        <v>1274</v>
      </c>
      <c r="G766" s="35">
        <v>50</v>
      </c>
      <c r="H766" s="43">
        <v>600</v>
      </c>
      <c r="I766" s="35">
        <v>695</v>
      </c>
      <c r="J766" s="35">
        <v>50</v>
      </c>
      <c r="K766" s="36"/>
      <c r="L766" s="36"/>
      <c r="M766" s="36"/>
      <c r="N766" s="36"/>
      <c r="O766" s="36"/>
      <c r="P766" s="36"/>
      <c r="Q766" s="36"/>
      <c r="R766" s="36"/>
      <c r="S766" s="36"/>
      <c r="T766" s="36"/>
    </row>
    <row r="767" spans="1:20" ht="15.75">
      <c r="A767" s="13">
        <v>64862</v>
      </c>
      <c r="B767" s="44">
        <f t="shared" si="2"/>
        <v>31</v>
      </c>
      <c r="C767" s="35">
        <v>194.20500000000001</v>
      </c>
      <c r="D767" s="35">
        <v>267.46600000000001</v>
      </c>
      <c r="E767" s="41">
        <v>812.32899999999995</v>
      </c>
      <c r="F767" s="35">
        <v>1274</v>
      </c>
      <c r="G767" s="35">
        <v>50</v>
      </c>
      <c r="H767" s="43">
        <v>600</v>
      </c>
      <c r="I767" s="35">
        <v>695</v>
      </c>
      <c r="J767" s="35">
        <v>0</v>
      </c>
      <c r="K767" s="36"/>
      <c r="L767" s="36"/>
      <c r="M767" s="36"/>
      <c r="N767" s="36"/>
      <c r="O767" s="36"/>
      <c r="P767" s="36"/>
      <c r="Q767" s="36"/>
      <c r="R767" s="36"/>
      <c r="S767" s="36"/>
      <c r="T767" s="36"/>
    </row>
    <row r="768" spans="1:20" ht="15.75">
      <c r="A768" s="13">
        <v>64893</v>
      </c>
      <c r="B768" s="44">
        <f t="shared" si="2"/>
        <v>31</v>
      </c>
      <c r="C768" s="35">
        <v>194.20500000000001</v>
      </c>
      <c r="D768" s="35">
        <v>267.46600000000001</v>
      </c>
      <c r="E768" s="41">
        <v>812.32899999999995</v>
      </c>
      <c r="F768" s="35">
        <v>1274</v>
      </c>
      <c r="G768" s="35">
        <v>50</v>
      </c>
      <c r="H768" s="43">
        <v>600</v>
      </c>
      <c r="I768" s="35">
        <v>695</v>
      </c>
      <c r="J768" s="35">
        <v>0</v>
      </c>
      <c r="K768" s="36"/>
      <c r="L768" s="36"/>
      <c r="M768" s="36"/>
      <c r="N768" s="36"/>
      <c r="O768" s="36"/>
      <c r="P768" s="36"/>
      <c r="Q768" s="36"/>
      <c r="R768" s="36"/>
      <c r="S768" s="36"/>
      <c r="T768" s="36"/>
    </row>
    <row r="769" spans="1:20" ht="15.75">
      <c r="A769" s="13">
        <v>64923</v>
      </c>
      <c r="B769" s="44">
        <f t="shared" si="2"/>
        <v>30</v>
      </c>
      <c r="C769" s="35">
        <v>194.20500000000001</v>
      </c>
      <c r="D769" s="35">
        <v>267.46600000000001</v>
      </c>
      <c r="E769" s="41">
        <v>812.32899999999995</v>
      </c>
      <c r="F769" s="35">
        <v>1274</v>
      </c>
      <c r="G769" s="35">
        <v>50</v>
      </c>
      <c r="H769" s="43">
        <v>600</v>
      </c>
      <c r="I769" s="35">
        <v>695</v>
      </c>
      <c r="J769" s="35">
        <v>0</v>
      </c>
      <c r="K769" s="36"/>
      <c r="L769" s="36"/>
      <c r="M769" s="36"/>
      <c r="N769" s="36"/>
      <c r="O769" s="36"/>
      <c r="P769" s="36"/>
      <c r="Q769" s="36"/>
      <c r="R769" s="36"/>
      <c r="S769" s="36"/>
      <c r="T769" s="36"/>
    </row>
    <row r="770" spans="1:20" ht="15.75">
      <c r="A770" s="13">
        <v>64954</v>
      </c>
      <c r="B770" s="44">
        <f t="shared" si="2"/>
        <v>31</v>
      </c>
      <c r="C770" s="35">
        <v>131.881</v>
      </c>
      <c r="D770" s="35">
        <v>277.16699999999997</v>
      </c>
      <c r="E770" s="41">
        <v>829.952</v>
      </c>
      <c r="F770" s="35">
        <v>1239</v>
      </c>
      <c r="G770" s="35">
        <v>75</v>
      </c>
      <c r="H770" s="43">
        <v>600</v>
      </c>
      <c r="I770" s="35">
        <v>695</v>
      </c>
      <c r="J770" s="35">
        <v>0</v>
      </c>
      <c r="K770" s="36"/>
      <c r="L770" s="36"/>
      <c r="M770" s="36"/>
      <c r="N770" s="36"/>
      <c r="O770" s="36"/>
      <c r="P770" s="36"/>
      <c r="Q770" s="36"/>
      <c r="R770" s="36"/>
      <c r="S770" s="36"/>
      <c r="T770" s="36"/>
    </row>
    <row r="771" spans="1:20" ht="15.75">
      <c r="A771" s="13">
        <v>64984</v>
      </c>
      <c r="B771" s="44">
        <f t="shared" si="2"/>
        <v>30</v>
      </c>
      <c r="C771" s="35">
        <v>122.58</v>
      </c>
      <c r="D771" s="35">
        <v>297.94099999999997</v>
      </c>
      <c r="E771" s="41">
        <v>729.47900000000004</v>
      </c>
      <c r="F771" s="35">
        <v>1150</v>
      </c>
      <c r="G771" s="35">
        <v>100</v>
      </c>
      <c r="H771" s="43">
        <v>600</v>
      </c>
      <c r="I771" s="35">
        <v>695</v>
      </c>
      <c r="J771" s="35">
        <v>50</v>
      </c>
      <c r="K771" s="36"/>
      <c r="L771" s="36"/>
      <c r="M771" s="36"/>
      <c r="N771" s="36"/>
      <c r="O771" s="36"/>
      <c r="P771" s="36"/>
      <c r="Q771" s="36"/>
      <c r="R771" s="36"/>
      <c r="S771" s="36"/>
      <c r="T771" s="36"/>
    </row>
    <row r="772" spans="1:20" ht="15.75">
      <c r="A772" s="13">
        <v>65015</v>
      </c>
      <c r="B772" s="44">
        <f t="shared" si="2"/>
        <v>31</v>
      </c>
      <c r="C772" s="35">
        <v>122.58</v>
      </c>
      <c r="D772" s="35">
        <v>297.94099999999997</v>
      </c>
      <c r="E772" s="41">
        <v>729.47900000000004</v>
      </c>
      <c r="F772" s="35">
        <v>1150</v>
      </c>
      <c r="G772" s="35">
        <v>100</v>
      </c>
      <c r="H772" s="43">
        <v>600</v>
      </c>
      <c r="I772" s="35">
        <v>695</v>
      </c>
      <c r="J772" s="35">
        <v>50</v>
      </c>
      <c r="K772" s="36"/>
      <c r="L772" s="36"/>
      <c r="M772" s="36"/>
      <c r="N772" s="36"/>
      <c r="O772" s="36"/>
      <c r="P772" s="36"/>
      <c r="Q772" s="36"/>
      <c r="R772" s="36"/>
      <c r="S772" s="36"/>
      <c r="T772" s="36"/>
    </row>
    <row r="773" spans="1:20" ht="15.75">
      <c r="A773" s="13">
        <v>65046</v>
      </c>
      <c r="B773" s="44">
        <f t="shared" ref="B773:B836" si="3">EOMONTH(A773,0)-EOMONTH(A773,-1)</f>
        <v>31</v>
      </c>
      <c r="C773" s="35">
        <v>122.58</v>
      </c>
      <c r="D773" s="35">
        <v>297.94099999999997</v>
      </c>
      <c r="E773" s="41">
        <v>729.47900000000004</v>
      </c>
      <c r="F773" s="35">
        <v>1150</v>
      </c>
      <c r="G773" s="35">
        <v>100</v>
      </c>
      <c r="H773" s="43">
        <v>600</v>
      </c>
      <c r="I773" s="35">
        <v>695</v>
      </c>
      <c r="J773" s="35">
        <v>50</v>
      </c>
      <c r="K773" s="36"/>
      <c r="L773" s="36"/>
      <c r="M773" s="36"/>
      <c r="N773" s="36"/>
      <c r="O773" s="36"/>
      <c r="P773" s="36"/>
      <c r="Q773" s="36"/>
      <c r="R773" s="36"/>
      <c r="S773" s="36"/>
      <c r="T773" s="36"/>
    </row>
    <row r="774" spans="1:20" ht="15.75">
      <c r="A774" s="13">
        <v>65074</v>
      </c>
      <c r="B774" s="44">
        <f t="shared" si="3"/>
        <v>28</v>
      </c>
      <c r="C774" s="35">
        <v>122.58</v>
      </c>
      <c r="D774" s="35">
        <v>297.94099999999997</v>
      </c>
      <c r="E774" s="41">
        <v>729.47900000000004</v>
      </c>
      <c r="F774" s="35">
        <v>1150</v>
      </c>
      <c r="G774" s="35">
        <v>100</v>
      </c>
      <c r="H774" s="43">
        <v>600</v>
      </c>
      <c r="I774" s="35">
        <v>695</v>
      </c>
      <c r="J774" s="35">
        <v>50</v>
      </c>
      <c r="K774" s="36"/>
      <c r="L774" s="36"/>
      <c r="M774" s="36"/>
      <c r="N774" s="36"/>
      <c r="O774" s="36"/>
      <c r="P774" s="36"/>
      <c r="Q774" s="36"/>
      <c r="R774" s="36"/>
      <c r="S774" s="36"/>
      <c r="T774" s="36"/>
    </row>
    <row r="775" spans="1:20" ht="15.75">
      <c r="A775" s="13">
        <v>65105</v>
      </c>
      <c r="B775" s="44">
        <f t="shared" si="3"/>
        <v>31</v>
      </c>
      <c r="C775" s="35">
        <v>122.58</v>
      </c>
      <c r="D775" s="35">
        <v>297.94099999999997</v>
      </c>
      <c r="E775" s="41">
        <v>729.47900000000004</v>
      </c>
      <c r="F775" s="35">
        <v>1150</v>
      </c>
      <c r="G775" s="35">
        <v>100</v>
      </c>
      <c r="H775" s="43">
        <v>600</v>
      </c>
      <c r="I775" s="35">
        <v>695</v>
      </c>
      <c r="J775" s="35">
        <v>50</v>
      </c>
      <c r="K775" s="36"/>
      <c r="L775" s="36"/>
      <c r="M775" s="36"/>
      <c r="N775" s="36"/>
      <c r="O775" s="36"/>
      <c r="P775" s="36"/>
      <c r="Q775" s="36"/>
      <c r="R775" s="36"/>
      <c r="S775" s="36"/>
      <c r="T775" s="36"/>
    </row>
    <row r="776" spans="1:20" ht="15.75">
      <c r="A776" s="13">
        <v>65135</v>
      </c>
      <c r="B776" s="44">
        <f t="shared" si="3"/>
        <v>30</v>
      </c>
      <c r="C776" s="35">
        <v>141.29300000000001</v>
      </c>
      <c r="D776" s="35">
        <v>267.99299999999999</v>
      </c>
      <c r="E776" s="41">
        <v>829.71400000000006</v>
      </c>
      <c r="F776" s="35">
        <v>1239</v>
      </c>
      <c r="G776" s="35">
        <v>100</v>
      </c>
      <c r="H776" s="43">
        <v>600</v>
      </c>
      <c r="I776" s="35">
        <v>695</v>
      </c>
      <c r="J776" s="35">
        <v>50</v>
      </c>
      <c r="K776" s="36"/>
      <c r="L776" s="36"/>
      <c r="M776" s="36"/>
      <c r="N776" s="36"/>
      <c r="O776" s="36"/>
      <c r="P776" s="36"/>
      <c r="Q776" s="36"/>
      <c r="R776" s="36"/>
      <c r="S776" s="36"/>
      <c r="T776" s="36"/>
    </row>
    <row r="777" spans="1:20" ht="15.75">
      <c r="A777" s="13">
        <v>65166</v>
      </c>
      <c r="B777" s="44">
        <f t="shared" si="3"/>
        <v>31</v>
      </c>
      <c r="C777" s="35">
        <v>194.20500000000001</v>
      </c>
      <c r="D777" s="35">
        <v>267.46600000000001</v>
      </c>
      <c r="E777" s="41">
        <v>812.32899999999995</v>
      </c>
      <c r="F777" s="35">
        <v>1274</v>
      </c>
      <c r="G777" s="35">
        <v>75</v>
      </c>
      <c r="H777" s="43">
        <v>600</v>
      </c>
      <c r="I777" s="35">
        <v>695</v>
      </c>
      <c r="J777" s="35">
        <v>50</v>
      </c>
      <c r="K777" s="36"/>
      <c r="L777" s="36"/>
      <c r="M777" s="36"/>
      <c r="N777" s="36"/>
      <c r="O777" s="36"/>
      <c r="P777" s="36"/>
      <c r="Q777" s="36"/>
      <c r="R777" s="36"/>
      <c r="S777" s="36"/>
      <c r="T777" s="36"/>
    </row>
    <row r="778" spans="1:20" ht="15.75">
      <c r="A778" s="13">
        <v>65196</v>
      </c>
      <c r="B778" s="44">
        <f t="shared" si="3"/>
        <v>30</v>
      </c>
      <c r="C778" s="35">
        <v>194.20500000000001</v>
      </c>
      <c r="D778" s="35">
        <v>267.46600000000001</v>
      </c>
      <c r="E778" s="41">
        <v>812.32899999999995</v>
      </c>
      <c r="F778" s="35">
        <v>1274</v>
      </c>
      <c r="G778" s="35">
        <v>50</v>
      </c>
      <c r="H778" s="43">
        <v>600</v>
      </c>
      <c r="I778" s="35">
        <v>695</v>
      </c>
      <c r="J778" s="35">
        <v>50</v>
      </c>
      <c r="K778" s="36"/>
      <c r="L778" s="36"/>
      <c r="M778" s="36"/>
      <c r="N778" s="36"/>
      <c r="O778" s="36"/>
      <c r="P778" s="36"/>
      <c r="Q778" s="36"/>
      <c r="R778" s="36"/>
      <c r="S778" s="36"/>
      <c r="T778" s="36"/>
    </row>
    <row r="779" spans="1:20" ht="15.75">
      <c r="A779" s="13">
        <v>65227</v>
      </c>
      <c r="B779" s="44">
        <f t="shared" si="3"/>
        <v>31</v>
      </c>
      <c r="C779" s="35">
        <v>194.20500000000001</v>
      </c>
      <c r="D779" s="35">
        <v>267.46600000000001</v>
      </c>
      <c r="E779" s="41">
        <v>812.32899999999995</v>
      </c>
      <c r="F779" s="35">
        <v>1274</v>
      </c>
      <c r="G779" s="35">
        <v>50</v>
      </c>
      <c r="H779" s="43">
        <v>600</v>
      </c>
      <c r="I779" s="35">
        <v>695</v>
      </c>
      <c r="J779" s="35">
        <v>0</v>
      </c>
      <c r="K779" s="36"/>
      <c r="L779" s="36"/>
      <c r="M779" s="36"/>
      <c r="N779" s="36"/>
      <c r="O779" s="36"/>
      <c r="P779" s="36"/>
      <c r="Q779" s="36"/>
      <c r="R779" s="36"/>
      <c r="S779" s="36"/>
      <c r="T779" s="36"/>
    </row>
    <row r="780" spans="1:20" ht="15.75">
      <c r="A780" s="13">
        <v>65258</v>
      </c>
      <c r="B780" s="44">
        <f t="shared" si="3"/>
        <v>31</v>
      </c>
      <c r="C780" s="35">
        <v>194.20500000000001</v>
      </c>
      <c r="D780" s="35">
        <v>267.46600000000001</v>
      </c>
      <c r="E780" s="41">
        <v>812.32899999999995</v>
      </c>
      <c r="F780" s="35">
        <v>1274</v>
      </c>
      <c r="G780" s="35">
        <v>50</v>
      </c>
      <c r="H780" s="43">
        <v>600</v>
      </c>
      <c r="I780" s="35">
        <v>695</v>
      </c>
      <c r="J780" s="35">
        <v>0</v>
      </c>
      <c r="K780" s="36"/>
      <c r="L780" s="36"/>
      <c r="M780" s="36"/>
      <c r="N780" s="36"/>
      <c r="O780" s="36"/>
      <c r="P780" s="36"/>
      <c r="Q780" s="36"/>
      <c r="R780" s="36"/>
      <c r="S780" s="36"/>
      <c r="T780" s="36"/>
    </row>
    <row r="781" spans="1:20" ht="15.75">
      <c r="A781" s="13">
        <v>65288</v>
      </c>
      <c r="B781" s="44">
        <f t="shared" si="3"/>
        <v>30</v>
      </c>
      <c r="C781" s="35">
        <v>194.20500000000001</v>
      </c>
      <c r="D781" s="35">
        <v>267.46600000000001</v>
      </c>
      <c r="E781" s="41">
        <v>812.32899999999995</v>
      </c>
      <c r="F781" s="35">
        <v>1274</v>
      </c>
      <c r="G781" s="35">
        <v>50</v>
      </c>
      <c r="H781" s="43">
        <v>600</v>
      </c>
      <c r="I781" s="35">
        <v>695</v>
      </c>
      <c r="J781" s="35">
        <v>0</v>
      </c>
      <c r="K781" s="36"/>
      <c r="L781" s="36"/>
      <c r="M781" s="36"/>
      <c r="N781" s="36"/>
      <c r="O781" s="36"/>
      <c r="P781" s="36"/>
      <c r="Q781" s="36"/>
      <c r="R781" s="36"/>
      <c r="S781" s="36"/>
      <c r="T781" s="36"/>
    </row>
    <row r="782" spans="1:20" ht="15.75">
      <c r="A782" s="13">
        <v>65319</v>
      </c>
      <c r="B782" s="44">
        <f t="shared" si="3"/>
        <v>31</v>
      </c>
      <c r="C782" s="35">
        <v>131.881</v>
      </c>
      <c r="D782" s="35">
        <v>277.16699999999997</v>
      </c>
      <c r="E782" s="41">
        <v>829.952</v>
      </c>
      <c r="F782" s="35">
        <v>1239</v>
      </c>
      <c r="G782" s="35">
        <v>75</v>
      </c>
      <c r="H782" s="43">
        <v>600</v>
      </c>
      <c r="I782" s="35">
        <v>695</v>
      </c>
      <c r="J782" s="35">
        <v>0</v>
      </c>
      <c r="K782" s="36"/>
      <c r="L782" s="36"/>
      <c r="M782" s="36"/>
      <c r="N782" s="36"/>
      <c r="O782" s="36"/>
      <c r="P782" s="36"/>
      <c r="Q782" s="36"/>
      <c r="R782" s="36"/>
      <c r="S782" s="36"/>
      <c r="T782" s="36"/>
    </row>
    <row r="783" spans="1:20" ht="15.75">
      <c r="A783" s="13">
        <v>65349</v>
      </c>
      <c r="B783" s="44">
        <f t="shared" si="3"/>
        <v>30</v>
      </c>
      <c r="C783" s="35">
        <v>122.58</v>
      </c>
      <c r="D783" s="35">
        <v>297.94099999999997</v>
      </c>
      <c r="E783" s="41">
        <v>729.47900000000004</v>
      </c>
      <c r="F783" s="35">
        <v>1150</v>
      </c>
      <c r="G783" s="35">
        <v>100</v>
      </c>
      <c r="H783" s="43">
        <v>600</v>
      </c>
      <c r="I783" s="35">
        <v>695</v>
      </c>
      <c r="J783" s="35">
        <v>50</v>
      </c>
      <c r="K783" s="36"/>
      <c r="L783" s="36"/>
      <c r="M783" s="36"/>
      <c r="N783" s="36"/>
      <c r="O783" s="36"/>
      <c r="P783" s="36"/>
      <c r="Q783" s="36"/>
      <c r="R783" s="36"/>
      <c r="S783" s="36"/>
      <c r="T783" s="36"/>
    </row>
    <row r="784" spans="1:20" ht="15.75">
      <c r="A784" s="13">
        <v>65380</v>
      </c>
      <c r="B784" s="44">
        <f t="shared" si="3"/>
        <v>31</v>
      </c>
      <c r="C784" s="35">
        <v>122.58</v>
      </c>
      <c r="D784" s="35">
        <v>297.94099999999997</v>
      </c>
      <c r="E784" s="41">
        <v>729.47900000000004</v>
      </c>
      <c r="F784" s="35">
        <v>1150</v>
      </c>
      <c r="G784" s="35">
        <v>100</v>
      </c>
      <c r="H784" s="43">
        <v>600</v>
      </c>
      <c r="I784" s="35">
        <v>695</v>
      </c>
      <c r="J784" s="35">
        <v>50</v>
      </c>
      <c r="K784" s="36"/>
      <c r="L784" s="36"/>
      <c r="M784" s="36"/>
      <c r="N784" s="36"/>
      <c r="O784" s="36"/>
      <c r="P784" s="36"/>
      <c r="Q784" s="36"/>
      <c r="R784" s="36"/>
      <c r="S784" s="36"/>
      <c r="T784" s="36"/>
    </row>
    <row r="785" spans="1:20" ht="15.75">
      <c r="A785" s="13">
        <v>65411</v>
      </c>
      <c r="B785" s="44">
        <f t="shared" si="3"/>
        <v>31</v>
      </c>
      <c r="C785" s="35">
        <v>122.58</v>
      </c>
      <c r="D785" s="35">
        <v>297.94099999999997</v>
      </c>
      <c r="E785" s="41">
        <v>729.47900000000004</v>
      </c>
      <c r="F785" s="35">
        <v>1150</v>
      </c>
      <c r="G785" s="35">
        <v>100</v>
      </c>
      <c r="H785" s="43">
        <v>600</v>
      </c>
      <c r="I785" s="35">
        <v>695</v>
      </c>
      <c r="J785" s="35">
        <v>50</v>
      </c>
      <c r="K785" s="36"/>
      <c r="L785" s="36"/>
      <c r="M785" s="36"/>
      <c r="N785" s="36"/>
      <c r="O785" s="36"/>
      <c r="P785" s="36"/>
      <c r="Q785" s="36"/>
      <c r="R785" s="36"/>
      <c r="S785" s="36"/>
      <c r="T785" s="36"/>
    </row>
    <row r="786" spans="1:20" ht="15.75">
      <c r="A786" s="13">
        <v>65439</v>
      </c>
      <c r="B786" s="44">
        <f t="shared" si="3"/>
        <v>28</v>
      </c>
      <c r="C786" s="35">
        <v>122.58</v>
      </c>
      <c r="D786" s="35">
        <v>297.94099999999997</v>
      </c>
      <c r="E786" s="41">
        <v>729.47900000000004</v>
      </c>
      <c r="F786" s="35">
        <v>1150</v>
      </c>
      <c r="G786" s="35">
        <v>100</v>
      </c>
      <c r="H786" s="43">
        <v>600</v>
      </c>
      <c r="I786" s="35">
        <v>695</v>
      </c>
      <c r="J786" s="35">
        <v>50</v>
      </c>
      <c r="K786" s="36"/>
      <c r="L786" s="36"/>
      <c r="M786" s="36"/>
      <c r="N786" s="36"/>
      <c r="O786" s="36"/>
      <c r="P786" s="36"/>
      <c r="Q786" s="36"/>
      <c r="R786" s="36"/>
      <c r="S786" s="36"/>
      <c r="T786" s="36"/>
    </row>
    <row r="787" spans="1:20" ht="15.75">
      <c r="A787" s="13">
        <v>65470</v>
      </c>
      <c r="B787" s="44">
        <f t="shared" si="3"/>
        <v>31</v>
      </c>
      <c r="C787" s="35">
        <v>122.58</v>
      </c>
      <c r="D787" s="35">
        <v>297.94099999999997</v>
      </c>
      <c r="E787" s="41">
        <v>729.47900000000004</v>
      </c>
      <c r="F787" s="35">
        <v>1150</v>
      </c>
      <c r="G787" s="35">
        <v>100</v>
      </c>
      <c r="H787" s="43">
        <v>600</v>
      </c>
      <c r="I787" s="35">
        <v>695</v>
      </c>
      <c r="J787" s="35">
        <v>50</v>
      </c>
      <c r="K787" s="36"/>
      <c r="L787" s="36"/>
      <c r="M787" s="36"/>
      <c r="N787" s="36"/>
      <c r="O787" s="36"/>
      <c r="P787" s="36"/>
      <c r="Q787" s="36"/>
      <c r="R787" s="36"/>
      <c r="S787" s="36"/>
      <c r="T787" s="36"/>
    </row>
    <row r="788" spans="1:20" ht="15.75">
      <c r="A788" s="13">
        <v>65500</v>
      </c>
      <c r="B788" s="44">
        <f t="shared" si="3"/>
        <v>30</v>
      </c>
      <c r="C788" s="35">
        <v>141.29300000000001</v>
      </c>
      <c r="D788" s="35">
        <v>267.99299999999999</v>
      </c>
      <c r="E788" s="41">
        <v>829.71400000000006</v>
      </c>
      <c r="F788" s="35">
        <v>1239</v>
      </c>
      <c r="G788" s="35">
        <v>100</v>
      </c>
      <c r="H788" s="43">
        <v>600</v>
      </c>
      <c r="I788" s="35">
        <v>695</v>
      </c>
      <c r="J788" s="35">
        <v>50</v>
      </c>
      <c r="K788" s="36"/>
      <c r="L788" s="36"/>
      <c r="M788" s="36"/>
      <c r="N788" s="36"/>
      <c r="O788" s="36"/>
      <c r="P788" s="36"/>
      <c r="Q788" s="36"/>
      <c r="R788" s="36"/>
      <c r="S788" s="36"/>
      <c r="T788" s="36"/>
    </row>
    <row r="789" spans="1:20" ht="15.75">
      <c r="A789" s="13">
        <v>65531</v>
      </c>
      <c r="B789" s="44">
        <f t="shared" si="3"/>
        <v>31</v>
      </c>
      <c r="C789" s="35">
        <v>194.20500000000001</v>
      </c>
      <c r="D789" s="35">
        <v>267.46600000000001</v>
      </c>
      <c r="E789" s="41">
        <v>812.32899999999995</v>
      </c>
      <c r="F789" s="35">
        <v>1274</v>
      </c>
      <c r="G789" s="35">
        <v>75</v>
      </c>
      <c r="H789" s="43">
        <v>600</v>
      </c>
      <c r="I789" s="35">
        <v>695</v>
      </c>
      <c r="J789" s="35">
        <v>50</v>
      </c>
      <c r="K789" s="36"/>
      <c r="L789" s="36"/>
      <c r="M789" s="36"/>
      <c r="N789" s="36"/>
      <c r="O789" s="36"/>
      <c r="P789" s="36"/>
      <c r="Q789" s="36"/>
      <c r="R789" s="36"/>
      <c r="S789" s="36"/>
      <c r="T789" s="36"/>
    </row>
    <row r="790" spans="1:20" ht="15.75">
      <c r="A790" s="13">
        <v>65561</v>
      </c>
      <c r="B790" s="44">
        <f t="shared" si="3"/>
        <v>30</v>
      </c>
      <c r="C790" s="35">
        <v>194.20500000000001</v>
      </c>
      <c r="D790" s="35">
        <v>267.46600000000001</v>
      </c>
      <c r="E790" s="41">
        <v>812.32899999999995</v>
      </c>
      <c r="F790" s="35">
        <v>1274</v>
      </c>
      <c r="G790" s="35">
        <v>50</v>
      </c>
      <c r="H790" s="43">
        <v>600</v>
      </c>
      <c r="I790" s="35">
        <v>695</v>
      </c>
      <c r="J790" s="35">
        <v>50</v>
      </c>
      <c r="K790" s="36"/>
      <c r="L790" s="36"/>
      <c r="M790" s="36"/>
      <c r="N790" s="36"/>
      <c r="O790" s="36"/>
      <c r="P790" s="36"/>
      <c r="Q790" s="36"/>
      <c r="R790" s="36"/>
      <c r="S790" s="36"/>
      <c r="T790" s="36"/>
    </row>
    <row r="791" spans="1:20" ht="15.75">
      <c r="A791" s="13">
        <v>65592</v>
      </c>
      <c r="B791" s="44">
        <f t="shared" si="3"/>
        <v>31</v>
      </c>
      <c r="C791" s="35">
        <v>194.20500000000001</v>
      </c>
      <c r="D791" s="35">
        <v>267.46600000000001</v>
      </c>
      <c r="E791" s="41">
        <v>812.32899999999995</v>
      </c>
      <c r="F791" s="35">
        <v>1274</v>
      </c>
      <c r="G791" s="35">
        <v>50</v>
      </c>
      <c r="H791" s="43">
        <v>600</v>
      </c>
      <c r="I791" s="35">
        <v>695</v>
      </c>
      <c r="J791" s="35">
        <v>0</v>
      </c>
      <c r="K791" s="36"/>
      <c r="L791" s="36"/>
      <c r="M791" s="36"/>
      <c r="N791" s="36"/>
      <c r="O791" s="36"/>
      <c r="P791" s="36"/>
      <c r="Q791" s="36"/>
      <c r="R791" s="36"/>
      <c r="S791" s="36"/>
      <c r="T791" s="36"/>
    </row>
    <row r="792" spans="1:20" ht="15.75">
      <c r="A792" s="13">
        <v>65623</v>
      </c>
      <c r="B792" s="44">
        <f t="shared" si="3"/>
        <v>31</v>
      </c>
      <c r="C792" s="35">
        <v>194.20500000000001</v>
      </c>
      <c r="D792" s="35">
        <v>267.46600000000001</v>
      </c>
      <c r="E792" s="41">
        <v>812.32899999999995</v>
      </c>
      <c r="F792" s="35">
        <v>1274</v>
      </c>
      <c r="G792" s="35">
        <v>50</v>
      </c>
      <c r="H792" s="43">
        <v>600</v>
      </c>
      <c r="I792" s="35">
        <v>695</v>
      </c>
      <c r="J792" s="35">
        <v>0</v>
      </c>
      <c r="K792" s="36"/>
      <c r="L792" s="36"/>
      <c r="M792" s="36"/>
      <c r="N792" s="36"/>
      <c r="O792" s="36"/>
      <c r="P792" s="36"/>
      <c r="Q792" s="36"/>
      <c r="R792" s="36"/>
      <c r="S792" s="36"/>
      <c r="T792" s="36"/>
    </row>
    <row r="793" spans="1:20" ht="15.75">
      <c r="A793" s="13">
        <v>65653</v>
      </c>
      <c r="B793" s="44">
        <f t="shared" si="3"/>
        <v>30</v>
      </c>
      <c r="C793" s="35">
        <v>194.20500000000001</v>
      </c>
      <c r="D793" s="35">
        <v>267.46600000000001</v>
      </c>
      <c r="E793" s="41">
        <v>812.32899999999995</v>
      </c>
      <c r="F793" s="35">
        <v>1274</v>
      </c>
      <c r="G793" s="35">
        <v>50</v>
      </c>
      <c r="H793" s="43">
        <v>600</v>
      </c>
      <c r="I793" s="35">
        <v>695</v>
      </c>
      <c r="J793" s="35">
        <v>0</v>
      </c>
      <c r="K793" s="36"/>
      <c r="L793" s="36"/>
      <c r="M793" s="36"/>
      <c r="N793" s="36"/>
      <c r="O793" s="36"/>
      <c r="P793" s="36"/>
      <c r="Q793" s="36"/>
      <c r="R793" s="36"/>
      <c r="S793" s="36"/>
      <c r="T793" s="36"/>
    </row>
    <row r="794" spans="1:20" ht="15.75">
      <c r="A794" s="13">
        <v>65684</v>
      </c>
      <c r="B794" s="44">
        <f t="shared" si="3"/>
        <v>31</v>
      </c>
      <c r="C794" s="35">
        <v>131.881</v>
      </c>
      <c r="D794" s="35">
        <v>277.16699999999997</v>
      </c>
      <c r="E794" s="41">
        <v>829.952</v>
      </c>
      <c r="F794" s="35">
        <v>1239</v>
      </c>
      <c r="G794" s="35">
        <v>75</v>
      </c>
      <c r="H794" s="43">
        <v>600</v>
      </c>
      <c r="I794" s="35">
        <v>695</v>
      </c>
      <c r="J794" s="35">
        <v>0</v>
      </c>
      <c r="K794" s="36"/>
      <c r="L794" s="36"/>
      <c r="M794" s="36"/>
      <c r="N794" s="36"/>
      <c r="O794" s="36"/>
      <c r="P794" s="36"/>
      <c r="Q794" s="36"/>
      <c r="R794" s="36"/>
      <c r="S794" s="36"/>
      <c r="T794" s="36"/>
    </row>
    <row r="795" spans="1:20" ht="15.75">
      <c r="A795" s="13">
        <v>65714</v>
      </c>
      <c r="B795" s="44">
        <f t="shared" si="3"/>
        <v>30</v>
      </c>
      <c r="C795" s="35">
        <v>122.58</v>
      </c>
      <c r="D795" s="35">
        <v>297.94099999999997</v>
      </c>
      <c r="E795" s="41">
        <v>729.47900000000004</v>
      </c>
      <c r="F795" s="35">
        <v>1150</v>
      </c>
      <c r="G795" s="35">
        <v>100</v>
      </c>
      <c r="H795" s="43">
        <v>600</v>
      </c>
      <c r="I795" s="35">
        <v>695</v>
      </c>
      <c r="J795" s="35">
        <v>50</v>
      </c>
      <c r="K795" s="36"/>
      <c r="L795" s="36"/>
      <c r="M795" s="36"/>
      <c r="N795" s="36"/>
      <c r="O795" s="36"/>
      <c r="P795" s="36"/>
      <c r="Q795" s="36"/>
      <c r="R795" s="36"/>
      <c r="S795" s="36"/>
      <c r="T795" s="36"/>
    </row>
    <row r="796" spans="1:20" ht="15.75">
      <c r="A796" s="13">
        <v>65745</v>
      </c>
      <c r="B796" s="44">
        <f t="shared" si="3"/>
        <v>31</v>
      </c>
      <c r="C796" s="35">
        <v>122.58</v>
      </c>
      <c r="D796" s="35">
        <v>297.94099999999997</v>
      </c>
      <c r="E796" s="41">
        <v>729.47900000000004</v>
      </c>
      <c r="F796" s="35">
        <v>1150</v>
      </c>
      <c r="G796" s="35">
        <v>100</v>
      </c>
      <c r="H796" s="43">
        <v>600</v>
      </c>
      <c r="I796" s="35">
        <v>695</v>
      </c>
      <c r="J796" s="35">
        <v>50</v>
      </c>
      <c r="K796" s="36"/>
      <c r="L796" s="36"/>
      <c r="M796" s="36"/>
      <c r="N796" s="36"/>
      <c r="O796" s="36"/>
      <c r="P796" s="36"/>
      <c r="Q796" s="36"/>
      <c r="R796" s="36"/>
      <c r="S796" s="36"/>
      <c r="T796" s="36"/>
    </row>
    <row r="797" spans="1:20" ht="15.75">
      <c r="A797" s="13">
        <v>65776</v>
      </c>
      <c r="B797" s="44">
        <f t="shared" si="3"/>
        <v>31</v>
      </c>
      <c r="C797" s="35">
        <v>122.58</v>
      </c>
      <c r="D797" s="35">
        <v>297.94099999999997</v>
      </c>
      <c r="E797" s="41">
        <v>729.47900000000004</v>
      </c>
      <c r="F797" s="35">
        <v>1150</v>
      </c>
      <c r="G797" s="35">
        <v>100</v>
      </c>
      <c r="H797" s="43">
        <v>600</v>
      </c>
      <c r="I797" s="35">
        <v>695</v>
      </c>
      <c r="J797" s="35">
        <v>50</v>
      </c>
      <c r="K797" s="36"/>
      <c r="L797" s="36"/>
      <c r="M797" s="36"/>
      <c r="N797" s="36"/>
      <c r="O797" s="36"/>
      <c r="P797" s="36"/>
      <c r="Q797" s="36"/>
      <c r="R797" s="36"/>
      <c r="S797" s="36"/>
      <c r="T797" s="36"/>
    </row>
    <row r="798" spans="1:20" ht="15.75">
      <c r="A798" s="13">
        <v>65805</v>
      </c>
      <c r="B798" s="44">
        <f t="shared" si="3"/>
        <v>29</v>
      </c>
      <c r="C798" s="35">
        <v>122.58</v>
      </c>
      <c r="D798" s="35">
        <v>297.94099999999997</v>
      </c>
      <c r="E798" s="41">
        <v>729.47900000000004</v>
      </c>
      <c r="F798" s="35">
        <v>1150</v>
      </c>
      <c r="G798" s="35">
        <v>100</v>
      </c>
      <c r="H798" s="43">
        <v>600</v>
      </c>
      <c r="I798" s="35">
        <v>695</v>
      </c>
      <c r="J798" s="35">
        <v>50</v>
      </c>
      <c r="K798" s="36"/>
      <c r="L798" s="36"/>
      <c r="M798" s="36"/>
      <c r="N798" s="36"/>
      <c r="O798" s="36"/>
      <c r="P798" s="36"/>
      <c r="Q798" s="36"/>
      <c r="R798" s="36"/>
      <c r="S798" s="36"/>
      <c r="T798" s="36"/>
    </row>
    <row r="799" spans="1:20" ht="15.75">
      <c r="A799" s="13">
        <v>65836</v>
      </c>
      <c r="B799" s="44">
        <f t="shared" si="3"/>
        <v>31</v>
      </c>
      <c r="C799" s="35">
        <v>122.58</v>
      </c>
      <c r="D799" s="35">
        <v>297.94099999999997</v>
      </c>
      <c r="E799" s="41">
        <v>729.47900000000004</v>
      </c>
      <c r="F799" s="35">
        <v>1150</v>
      </c>
      <c r="G799" s="35">
        <v>100</v>
      </c>
      <c r="H799" s="43">
        <v>600</v>
      </c>
      <c r="I799" s="35">
        <v>695</v>
      </c>
      <c r="J799" s="35">
        <v>50</v>
      </c>
      <c r="K799" s="36"/>
      <c r="L799" s="36"/>
      <c r="M799" s="36"/>
      <c r="N799" s="36"/>
      <c r="O799" s="36"/>
      <c r="P799" s="36"/>
      <c r="Q799" s="36"/>
      <c r="R799" s="36"/>
      <c r="S799" s="36"/>
      <c r="T799" s="36"/>
    </row>
    <row r="800" spans="1:20" ht="15.75">
      <c r="A800" s="13">
        <v>65866</v>
      </c>
      <c r="B800" s="44">
        <f t="shared" si="3"/>
        <v>30</v>
      </c>
      <c r="C800" s="35">
        <v>141.29300000000001</v>
      </c>
      <c r="D800" s="35">
        <v>267.99299999999999</v>
      </c>
      <c r="E800" s="41">
        <v>829.71400000000006</v>
      </c>
      <c r="F800" s="35">
        <v>1239</v>
      </c>
      <c r="G800" s="35">
        <v>100</v>
      </c>
      <c r="H800" s="43">
        <v>600</v>
      </c>
      <c r="I800" s="35">
        <v>695</v>
      </c>
      <c r="J800" s="35">
        <v>50</v>
      </c>
      <c r="K800" s="36"/>
      <c r="L800" s="36"/>
      <c r="M800" s="36"/>
      <c r="N800" s="36"/>
      <c r="O800" s="36"/>
      <c r="P800" s="36"/>
      <c r="Q800" s="36"/>
      <c r="R800" s="36"/>
      <c r="S800" s="36"/>
      <c r="T800" s="36"/>
    </row>
    <row r="801" spans="1:20" ht="15.75">
      <c r="A801" s="13">
        <v>65897</v>
      </c>
      <c r="B801" s="44">
        <f t="shared" si="3"/>
        <v>31</v>
      </c>
      <c r="C801" s="35">
        <v>194.20500000000001</v>
      </c>
      <c r="D801" s="35">
        <v>267.46600000000001</v>
      </c>
      <c r="E801" s="41">
        <v>812.32899999999995</v>
      </c>
      <c r="F801" s="35">
        <v>1274</v>
      </c>
      <c r="G801" s="35">
        <v>75</v>
      </c>
      <c r="H801" s="43">
        <v>600</v>
      </c>
      <c r="I801" s="35">
        <v>695</v>
      </c>
      <c r="J801" s="35">
        <v>50</v>
      </c>
      <c r="K801" s="36"/>
      <c r="L801" s="36"/>
      <c r="M801" s="36"/>
      <c r="N801" s="36"/>
      <c r="O801" s="36"/>
      <c r="P801" s="36"/>
      <c r="Q801" s="36"/>
      <c r="R801" s="36"/>
      <c r="S801" s="36"/>
      <c r="T801" s="36"/>
    </row>
    <row r="802" spans="1:20" ht="15.75">
      <c r="A802" s="13">
        <v>65927</v>
      </c>
      <c r="B802" s="44">
        <f t="shared" si="3"/>
        <v>30</v>
      </c>
      <c r="C802" s="35">
        <v>194.20500000000001</v>
      </c>
      <c r="D802" s="35">
        <v>267.46600000000001</v>
      </c>
      <c r="E802" s="41">
        <v>812.32899999999995</v>
      </c>
      <c r="F802" s="35">
        <v>1274</v>
      </c>
      <c r="G802" s="35">
        <v>50</v>
      </c>
      <c r="H802" s="43">
        <v>600</v>
      </c>
      <c r="I802" s="35">
        <v>695</v>
      </c>
      <c r="J802" s="35">
        <v>50</v>
      </c>
      <c r="K802" s="36"/>
      <c r="L802" s="36"/>
      <c r="M802" s="36"/>
      <c r="N802" s="36"/>
      <c r="O802" s="36"/>
      <c r="P802" s="36"/>
      <c r="Q802" s="36"/>
      <c r="R802" s="36"/>
      <c r="S802" s="36"/>
      <c r="T802" s="36"/>
    </row>
    <row r="803" spans="1:20" ht="15.75">
      <c r="A803" s="13">
        <v>65958</v>
      </c>
      <c r="B803" s="44">
        <f t="shared" si="3"/>
        <v>31</v>
      </c>
      <c r="C803" s="35">
        <v>194.20500000000001</v>
      </c>
      <c r="D803" s="35">
        <v>267.46600000000001</v>
      </c>
      <c r="E803" s="41">
        <v>812.32899999999995</v>
      </c>
      <c r="F803" s="35">
        <v>1274</v>
      </c>
      <c r="G803" s="35">
        <v>50</v>
      </c>
      <c r="H803" s="43">
        <v>600</v>
      </c>
      <c r="I803" s="35">
        <v>695</v>
      </c>
      <c r="J803" s="35">
        <v>0</v>
      </c>
      <c r="K803" s="36"/>
      <c r="L803" s="36"/>
      <c r="M803" s="36"/>
      <c r="N803" s="36"/>
      <c r="O803" s="36"/>
      <c r="P803" s="36"/>
      <c r="Q803" s="36"/>
      <c r="R803" s="36"/>
      <c r="S803" s="36"/>
      <c r="T803" s="36"/>
    </row>
    <row r="804" spans="1:20" ht="15.75">
      <c r="A804" s="13">
        <v>65989</v>
      </c>
      <c r="B804" s="44">
        <f t="shared" si="3"/>
        <v>31</v>
      </c>
      <c r="C804" s="35">
        <v>194.20500000000001</v>
      </c>
      <c r="D804" s="35">
        <v>267.46600000000001</v>
      </c>
      <c r="E804" s="41">
        <v>812.32899999999995</v>
      </c>
      <c r="F804" s="35">
        <v>1274</v>
      </c>
      <c r="G804" s="35">
        <v>50</v>
      </c>
      <c r="H804" s="43">
        <v>600</v>
      </c>
      <c r="I804" s="35">
        <v>695</v>
      </c>
      <c r="J804" s="35">
        <v>0</v>
      </c>
      <c r="K804" s="36"/>
      <c r="L804" s="36"/>
      <c r="M804" s="36"/>
      <c r="N804" s="36"/>
      <c r="O804" s="36"/>
      <c r="P804" s="36"/>
      <c r="Q804" s="36"/>
      <c r="R804" s="36"/>
      <c r="S804" s="36"/>
      <c r="T804" s="36"/>
    </row>
    <row r="805" spans="1:20" ht="15.75">
      <c r="A805" s="13">
        <v>66019</v>
      </c>
      <c r="B805" s="44">
        <f t="shared" si="3"/>
        <v>30</v>
      </c>
      <c r="C805" s="35">
        <v>194.20500000000001</v>
      </c>
      <c r="D805" s="35">
        <v>267.46600000000001</v>
      </c>
      <c r="E805" s="41">
        <v>812.32899999999995</v>
      </c>
      <c r="F805" s="35">
        <v>1274</v>
      </c>
      <c r="G805" s="35">
        <v>50</v>
      </c>
      <c r="H805" s="43">
        <v>600</v>
      </c>
      <c r="I805" s="35">
        <v>695</v>
      </c>
      <c r="J805" s="35">
        <v>0</v>
      </c>
      <c r="K805" s="36"/>
      <c r="L805" s="36"/>
      <c r="M805" s="36"/>
      <c r="N805" s="36"/>
      <c r="O805" s="36"/>
      <c r="P805" s="36"/>
      <c r="Q805" s="36"/>
      <c r="R805" s="36"/>
      <c r="S805" s="36"/>
      <c r="T805" s="36"/>
    </row>
    <row r="806" spans="1:20" ht="15.75">
      <c r="A806" s="13">
        <v>66050</v>
      </c>
      <c r="B806" s="44">
        <f t="shared" si="3"/>
        <v>31</v>
      </c>
      <c r="C806" s="35">
        <v>131.881</v>
      </c>
      <c r="D806" s="35">
        <v>277.16699999999997</v>
      </c>
      <c r="E806" s="41">
        <v>829.952</v>
      </c>
      <c r="F806" s="35">
        <v>1239</v>
      </c>
      <c r="G806" s="35">
        <v>75</v>
      </c>
      <c r="H806" s="43">
        <v>600</v>
      </c>
      <c r="I806" s="35">
        <v>695</v>
      </c>
      <c r="J806" s="35">
        <v>0</v>
      </c>
      <c r="K806" s="36"/>
      <c r="L806" s="36"/>
      <c r="M806" s="36"/>
      <c r="N806" s="36"/>
      <c r="O806" s="36"/>
      <c r="P806" s="36"/>
      <c r="Q806" s="36"/>
      <c r="R806" s="36"/>
      <c r="S806" s="36"/>
      <c r="T806" s="36"/>
    </row>
    <row r="807" spans="1:20" ht="15.75">
      <c r="A807" s="13">
        <v>66080</v>
      </c>
      <c r="B807" s="44">
        <f t="shared" si="3"/>
        <v>30</v>
      </c>
      <c r="C807" s="35">
        <v>122.58</v>
      </c>
      <c r="D807" s="35">
        <v>297.94099999999997</v>
      </c>
      <c r="E807" s="41">
        <v>729.47900000000004</v>
      </c>
      <c r="F807" s="35">
        <v>1150</v>
      </c>
      <c r="G807" s="35">
        <v>100</v>
      </c>
      <c r="H807" s="43">
        <v>600</v>
      </c>
      <c r="I807" s="35">
        <v>695</v>
      </c>
      <c r="J807" s="35">
        <v>50</v>
      </c>
      <c r="K807" s="36"/>
      <c r="L807" s="36"/>
      <c r="M807" s="36"/>
      <c r="N807" s="36"/>
      <c r="O807" s="36"/>
      <c r="P807" s="36"/>
      <c r="Q807" s="36"/>
      <c r="R807" s="36"/>
      <c r="S807" s="36"/>
      <c r="T807" s="36"/>
    </row>
    <row r="808" spans="1:20" ht="15.75">
      <c r="A808" s="13">
        <v>66111</v>
      </c>
      <c r="B808" s="44">
        <f t="shared" si="3"/>
        <v>31</v>
      </c>
      <c r="C808" s="35">
        <v>122.58</v>
      </c>
      <c r="D808" s="35">
        <v>297.94099999999997</v>
      </c>
      <c r="E808" s="41">
        <v>729.47900000000004</v>
      </c>
      <c r="F808" s="35">
        <v>1150</v>
      </c>
      <c r="G808" s="35">
        <v>100</v>
      </c>
      <c r="H808" s="43">
        <v>600</v>
      </c>
      <c r="I808" s="35">
        <v>695</v>
      </c>
      <c r="J808" s="35">
        <v>50</v>
      </c>
      <c r="K808" s="36"/>
      <c r="L808" s="36"/>
      <c r="M808" s="36"/>
      <c r="N808" s="36"/>
      <c r="O808" s="36"/>
      <c r="P808" s="36"/>
      <c r="Q808" s="36"/>
      <c r="R808" s="36"/>
      <c r="S808" s="36"/>
      <c r="T808" s="36"/>
    </row>
    <row r="809" spans="1:20" ht="15.75">
      <c r="A809" s="13">
        <v>66142</v>
      </c>
      <c r="B809" s="44">
        <f t="shared" si="3"/>
        <v>31</v>
      </c>
      <c r="C809" s="35">
        <v>122.58</v>
      </c>
      <c r="D809" s="35">
        <v>297.94099999999997</v>
      </c>
      <c r="E809" s="41">
        <v>729.47900000000004</v>
      </c>
      <c r="F809" s="35">
        <v>1150</v>
      </c>
      <c r="G809" s="35">
        <v>100</v>
      </c>
      <c r="H809" s="43">
        <v>600</v>
      </c>
      <c r="I809" s="35">
        <v>695</v>
      </c>
      <c r="J809" s="35">
        <v>50</v>
      </c>
      <c r="K809" s="36"/>
      <c r="L809" s="36"/>
      <c r="M809" s="36"/>
      <c r="N809" s="36"/>
      <c r="O809" s="36"/>
      <c r="P809" s="36"/>
      <c r="Q809" s="36"/>
      <c r="R809" s="36"/>
      <c r="S809" s="36"/>
      <c r="T809" s="36"/>
    </row>
    <row r="810" spans="1:20" ht="15.75">
      <c r="A810" s="13">
        <v>66170</v>
      </c>
      <c r="B810" s="44">
        <f t="shared" si="3"/>
        <v>28</v>
      </c>
      <c r="C810" s="35">
        <v>122.58</v>
      </c>
      <c r="D810" s="35">
        <v>297.94099999999997</v>
      </c>
      <c r="E810" s="41">
        <v>729.47900000000004</v>
      </c>
      <c r="F810" s="35">
        <v>1150</v>
      </c>
      <c r="G810" s="35">
        <v>100</v>
      </c>
      <c r="H810" s="43">
        <v>600</v>
      </c>
      <c r="I810" s="35">
        <v>695</v>
      </c>
      <c r="J810" s="35">
        <v>50</v>
      </c>
      <c r="K810" s="36"/>
      <c r="L810" s="36"/>
      <c r="M810" s="36"/>
      <c r="N810" s="36"/>
      <c r="O810" s="36"/>
      <c r="P810" s="36"/>
      <c r="Q810" s="36"/>
      <c r="R810" s="36"/>
      <c r="S810" s="36"/>
      <c r="T810" s="36"/>
    </row>
    <row r="811" spans="1:20" ht="15.75">
      <c r="A811" s="13">
        <v>66201</v>
      </c>
      <c r="B811" s="44">
        <f t="shared" si="3"/>
        <v>31</v>
      </c>
      <c r="C811" s="35">
        <v>122.58</v>
      </c>
      <c r="D811" s="35">
        <v>297.94099999999997</v>
      </c>
      <c r="E811" s="41">
        <v>729.47900000000004</v>
      </c>
      <c r="F811" s="35">
        <v>1150</v>
      </c>
      <c r="G811" s="35">
        <v>100</v>
      </c>
      <c r="H811" s="43">
        <v>600</v>
      </c>
      <c r="I811" s="35">
        <v>695</v>
      </c>
      <c r="J811" s="35">
        <v>50</v>
      </c>
      <c r="K811" s="36"/>
      <c r="L811" s="36"/>
      <c r="M811" s="36"/>
      <c r="N811" s="36"/>
      <c r="O811" s="36"/>
      <c r="P811" s="36"/>
      <c r="Q811" s="36"/>
      <c r="R811" s="36"/>
      <c r="S811" s="36"/>
      <c r="T811" s="36"/>
    </row>
    <row r="812" spans="1:20" ht="15.75">
      <c r="A812" s="13">
        <v>66231</v>
      </c>
      <c r="B812" s="44">
        <f t="shared" si="3"/>
        <v>30</v>
      </c>
      <c r="C812" s="35">
        <v>141.29300000000001</v>
      </c>
      <c r="D812" s="35">
        <v>267.99299999999999</v>
      </c>
      <c r="E812" s="41">
        <v>829.71400000000006</v>
      </c>
      <c r="F812" s="35">
        <v>1239</v>
      </c>
      <c r="G812" s="35">
        <v>100</v>
      </c>
      <c r="H812" s="43">
        <v>600</v>
      </c>
      <c r="I812" s="35">
        <v>695</v>
      </c>
      <c r="J812" s="35">
        <v>50</v>
      </c>
      <c r="K812" s="36"/>
      <c r="L812" s="36"/>
      <c r="M812" s="36"/>
      <c r="N812" s="36"/>
      <c r="O812" s="36"/>
      <c r="P812" s="36"/>
      <c r="Q812" s="36"/>
      <c r="R812" s="36"/>
      <c r="S812" s="36"/>
      <c r="T812" s="36"/>
    </row>
    <row r="813" spans="1:20" ht="15.75">
      <c r="A813" s="13">
        <v>66262</v>
      </c>
      <c r="B813" s="44">
        <f t="shared" si="3"/>
        <v>31</v>
      </c>
      <c r="C813" s="35">
        <v>194.20500000000001</v>
      </c>
      <c r="D813" s="35">
        <v>267.46600000000001</v>
      </c>
      <c r="E813" s="41">
        <v>812.32899999999995</v>
      </c>
      <c r="F813" s="35">
        <v>1274</v>
      </c>
      <c r="G813" s="35">
        <v>75</v>
      </c>
      <c r="H813" s="43">
        <v>600</v>
      </c>
      <c r="I813" s="35">
        <v>695</v>
      </c>
      <c r="J813" s="35">
        <v>50</v>
      </c>
      <c r="K813" s="36"/>
      <c r="L813" s="36"/>
      <c r="M813" s="36"/>
      <c r="N813" s="36"/>
      <c r="O813" s="36"/>
      <c r="P813" s="36"/>
      <c r="Q813" s="36"/>
      <c r="R813" s="36"/>
      <c r="S813" s="36"/>
      <c r="T813" s="36"/>
    </row>
    <row r="814" spans="1:20" ht="15.75">
      <c r="A814" s="13">
        <v>66292</v>
      </c>
      <c r="B814" s="44">
        <f t="shared" si="3"/>
        <v>30</v>
      </c>
      <c r="C814" s="35">
        <v>194.20500000000001</v>
      </c>
      <c r="D814" s="35">
        <v>267.46600000000001</v>
      </c>
      <c r="E814" s="41">
        <v>812.32899999999995</v>
      </c>
      <c r="F814" s="35">
        <v>1274</v>
      </c>
      <c r="G814" s="35">
        <v>50</v>
      </c>
      <c r="H814" s="43">
        <v>600</v>
      </c>
      <c r="I814" s="35">
        <v>695</v>
      </c>
      <c r="J814" s="35">
        <v>50</v>
      </c>
      <c r="K814" s="36"/>
      <c r="L814" s="36"/>
      <c r="M814" s="36"/>
      <c r="N814" s="36"/>
      <c r="O814" s="36"/>
      <c r="P814" s="36"/>
      <c r="Q814" s="36"/>
      <c r="R814" s="36"/>
      <c r="S814" s="36"/>
      <c r="T814" s="36"/>
    </row>
    <row r="815" spans="1:20" ht="15.75">
      <c r="A815" s="13">
        <v>66323</v>
      </c>
      <c r="B815" s="44">
        <f t="shared" si="3"/>
        <v>31</v>
      </c>
      <c r="C815" s="35">
        <v>194.20500000000001</v>
      </c>
      <c r="D815" s="35">
        <v>267.46600000000001</v>
      </c>
      <c r="E815" s="41">
        <v>812.32899999999995</v>
      </c>
      <c r="F815" s="35">
        <v>1274</v>
      </c>
      <c r="G815" s="35">
        <v>50</v>
      </c>
      <c r="H815" s="43">
        <v>600</v>
      </c>
      <c r="I815" s="35">
        <v>695</v>
      </c>
      <c r="J815" s="35">
        <v>0</v>
      </c>
      <c r="K815" s="36"/>
      <c r="L815" s="36"/>
      <c r="M815" s="36"/>
      <c r="N815" s="36"/>
      <c r="O815" s="36"/>
      <c r="P815" s="36"/>
      <c r="Q815" s="36"/>
      <c r="R815" s="36"/>
      <c r="S815" s="36"/>
      <c r="T815" s="36"/>
    </row>
    <row r="816" spans="1:20" ht="15.75">
      <c r="A816" s="13">
        <v>66354</v>
      </c>
      <c r="B816" s="44">
        <f t="shared" si="3"/>
        <v>31</v>
      </c>
      <c r="C816" s="35">
        <v>194.20500000000001</v>
      </c>
      <c r="D816" s="35">
        <v>267.46600000000001</v>
      </c>
      <c r="E816" s="41">
        <v>812.32899999999995</v>
      </c>
      <c r="F816" s="35">
        <v>1274</v>
      </c>
      <c r="G816" s="35">
        <v>50</v>
      </c>
      <c r="H816" s="43">
        <v>600</v>
      </c>
      <c r="I816" s="35">
        <v>695</v>
      </c>
      <c r="J816" s="35">
        <v>0</v>
      </c>
      <c r="K816" s="36"/>
      <c r="L816" s="36"/>
      <c r="M816" s="36"/>
      <c r="N816" s="36"/>
      <c r="O816" s="36"/>
      <c r="P816" s="36"/>
      <c r="Q816" s="36"/>
      <c r="R816" s="36"/>
      <c r="S816" s="36"/>
      <c r="T816" s="36"/>
    </row>
    <row r="817" spans="1:20" ht="15.75">
      <c r="A817" s="13">
        <v>66384</v>
      </c>
      <c r="B817" s="44">
        <f t="shared" si="3"/>
        <v>30</v>
      </c>
      <c r="C817" s="35">
        <v>194.20500000000001</v>
      </c>
      <c r="D817" s="35">
        <v>267.46600000000001</v>
      </c>
      <c r="E817" s="41">
        <v>812.32899999999995</v>
      </c>
      <c r="F817" s="35">
        <v>1274</v>
      </c>
      <c r="G817" s="35">
        <v>50</v>
      </c>
      <c r="H817" s="43">
        <v>600</v>
      </c>
      <c r="I817" s="35">
        <v>695</v>
      </c>
      <c r="J817" s="35">
        <v>0</v>
      </c>
      <c r="K817" s="36"/>
      <c r="L817" s="36"/>
      <c r="M817" s="36"/>
      <c r="N817" s="36"/>
      <c r="O817" s="36"/>
      <c r="P817" s="36"/>
      <c r="Q817" s="36"/>
      <c r="R817" s="36"/>
      <c r="S817" s="36"/>
      <c r="T817" s="36"/>
    </row>
    <row r="818" spans="1:20" ht="15.75">
      <c r="A818" s="13">
        <v>66415</v>
      </c>
      <c r="B818" s="44">
        <f t="shared" si="3"/>
        <v>31</v>
      </c>
      <c r="C818" s="35">
        <v>131.881</v>
      </c>
      <c r="D818" s="35">
        <v>277.16699999999997</v>
      </c>
      <c r="E818" s="41">
        <v>829.952</v>
      </c>
      <c r="F818" s="35">
        <v>1239</v>
      </c>
      <c r="G818" s="35">
        <v>75</v>
      </c>
      <c r="H818" s="43">
        <v>600</v>
      </c>
      <c r="I818" s="35">
        <v>695</v>
      </c>
      <c r="J818" s="35">
        <v>0</v>
      </c>
      <c r="K818" s="36"/>
      <c r="L818" s="36"/>
      <c r="M818" s="36"/>
      <c r="N818" s="36"/>
      <c r="O818" s="36"/>
      <c r="P818" s="36"/>
      <c r="Q818" s="36"/>
      <c r="R818" s="36"/>
      <c r="S818" s="36"/>
      <c r="T818" s="36"/>
    </row>
    <row r="819" spans="1:20" ht="15.75">
      <c r="A819" s="13">
        <v>66445</v>
      </c>
      <c r="B819" s="44">
        <f t="shared" si="3"/>
        <v>30</v>
      </c>
      <c r="C819" s="35">
        <v>122.58</v>
      </c>
      <c r="D819" s="35">
        <v>297.94099999999997</v>
      </c>
      <c r="E819" s="41">
        <v>729.47900000000004</v>
      </c>
      <c r="F819" s="35">
        <v>1150</v>
      </c>
      <c r="G819" s="35">
        <v>100</v>
      </c>
      <c r="H819" s="43">
        <v>600</v>
      </c>
      <c r="I819" s="35">
        <v>695</v>
      </c>
      <c r="J819" s="35">
        <v>50</v>
      </c>
      <c r="K819" s="36"/>
      <c r="L819" s="36"/>
      <c r="M819" s="36"/>
      <c r="N819" s="36"/>
      <c r="O819" s="36"/>
      <c r="P819" s="36"/>
      <c r="Q819" s="36"/>
      <c r="R819" s="36"/>
      <c r="S819" s="36"/>
      <c r="T819" s="36"/>
    </row>
    <row r="820" spans="1:20" ht="15.75">
      <c r="A820" s="13">
        <v>66476</v>
      </c>
      <c r="B820" s="44">
        <f t="shared" si="3"/>
        <v>31</v>
      </c>
      <c r="C820" s="35">
        <v>122.58</v>
      </c>
      <c r="D820" s="35">
        <v>297.94099999999997</v>
      </c>
      <c r="E820" s="41">
        <v>729.47900000000004</v>
      </c>
      <c r="F820" s="35">
        <v>1150</v>
      </c>
      <c r="G820" s="35">
        <v>100</v>
      </c>
      <c r="H820" s="43">
        <v>600</v>
      </c>
      <c r="I820" s="35">
        <v>695</v>
      </c>
      <c r="J820" s="35">
        <v>50</v>
      </c>
      <c r="K820" s="36"/>
      <c r="L820" s="36"/>
      <c r="M820" s="36"/>
      <c r="N820" s="36"/>
      <c r="O820" s="36"/>
      <c r="P820" s="36"/>
      <c r="Q820" s="36"/>
      <c r="R820" s="36"/>
      <c r="S820" s="36"/>
      <c r="T820" s="36"/>
    </row>
    <row r="821" spans="1:20" ht="15.75">
      <c r="A821" s="13">
        <v>66507</v>
      </c>
      <c r="B821" s="44">
        <f t="shared" si="3"/>
        <v>31</v>
      </c>
      <c r="C821" s="35">
        <v>122.58</v>
      </c>
      <c r="D821" s="35">
        <v>297.94099999999997</v>
      </c>
      <c r="E821" s="41">
        <v>729.47900000000004</v>
      </c>
      <c r="F821" s="35">
        <v>1150</v>
      </c>
      <c r="G821" s="35">
        <v>100</v>
      </c>
      <c r="H821" s="43">
        <v>600</v>
      </c>
      <c r="I821" s="35">
        <v>695</v>
      </c>
      <c r="J821" s="35">
        <v>50</v>
      </c>
      <c r="K821" s="36"/>
      <c r="L821" s="36"/>
      <c r="M821" s="36"/>
      <c r="N821" s="36"/>
      <c r="O821" s="36"/>
      <c r="P821" s="36"/>
      <c r="Q821" s="36"/>
      <c r="R821" s="36"/>
      <c r="S821" s="36"/>
      <c r="T821" s="36"/>
    </row>
    <row r="822" spans="1:20" ht="15.75">
      <c r="A822" s="13">
        <v>66535</v>
      </c>
      <c r="B822" s="44">
        <f t="shared" si="3"/>
        <v>28</v>
      </c>
      <c r="C822" s="35">
        <v>122.58</v>
      </c>
      <c r="D822" s="35">
        <v>297.94099999999997</v>
      </c>
      <c r="E822" s="41">
        <v>729.47900000000004</v>
      </c>
      <c r="F822" s="35">
        <v>1150</v>
      </c>
      <c r="G822" s="35">
        <v>100</v>
      </c>
      <c r="H822" s="43">
        <v>600</v>
      </c>
      <c r="I822" s="35">
        <v>695</v>
      </c>
      <c r="J822" s="35">
        <v>50</v>
      </c>
      <c r="K822" s="36"/>
      <c r="L822" s="36"/>
      <c r="M822" s="36"/>
      <c r="N822" s="36"/>
      <c r="O822" s="36"/>
      <c r="P822" s="36"/>
      <c r="Q822" s="36"/>
      <c r="R822" s="36"/>
      <c r="S822" s="36"/>
      <c r="T822" s="36"/>
    </row>
    <row r="823" spans="1:20" ht="15.75">
      <c r="A823" s="13">
        <v>66566</v>
      </c>
      <c r="B823" s="44">
        <f t="shared" si="3"/>
        <v>31</v>
      </c>
      <c r="C823" s="35">
        <v>122.58</v>
      </c>
      <c r="D823" s="35">
        <v>297.94099999999997</v>
      </c>
      <c r="E823" s="41">
        <v>729.47900000000004</v>
      </c>
      <c r="F823" s="35">
        <v>1150</v>
      </c>
      <c r="G823" s="35">
        <v>100</v>
      </c>
      <c r="H823" s="43">
        <v>600</v>
      </c>
      <c r="I823" s="35">
        <v>695</v>
      </c>
      <c r="J823" s="35">
        <v>50</v>
      </c>
      <c r="K823" s="36"/>
      <c r="L823" s="36"/>
      <c r="M823" s="36"/>
      <c r="N823" s="36"/>
      <c r="O823" s="36"/>
      <c r="P823" s="36"/>
      <c r="Q823" s="36"/>
      <c r="R823" s="36"/>
      <c r="S823" s="36"/>
      <c r="T823" s="36"/>
    </row>
    <row r="824" spans="1:20" ht="15.75">
      <c r="A824" s="13">
        <v>66596</v>
      </c>
      <c r="B824" s="44">
        <f t="shared" si="3"/>
        <v>30</v>
      </c>
      <c r="C824" s="35">
        <v>141.29300000000001</v>
      </c>
      <c r="D824" s="35">
        <v>267.99299999999999</v>
      </c>
      <c r="E824" s="41">
        <v>829.71400000000006</v>
      </c>
      <c r="F824" s="35">
        <v>1239</v>
      </c>
      <c r="G824" s="35">
        <v>100</v>
      </c>
      <c r="H824" s="43">
        <v>600</v>
      </c>
      <c r="I824" s="35">
        <v>695</v>
      </c>
      <c r="J824" s="35">
        <v>50</v>
      </c>
      <c r="K824" s="36"/>
      <c r="L824" s="36"/>
      <c r="M824" s="36"/>
      <c r="N824" s="36"/>
      <c r="O824" s="36"/>
      <c r="P824" s="36"/>
      <c r="Q824" s="36"/>
      <c r="R824" s="36"/>
      <c r="S824" s="36"/>
      <c r="T824" s="36"/>
    </row>
    <row r="825" spans="1:20" ht="15.75">
      <c r="A825" s="13">
        <v>66627</v>
      </c>
      <c r="B825" s="44">
        <f t="shared" si="3"/>
        <v>31</v>
      </c>
      <c r="C825" s="35">
        <v>194.20500000000001</v>
      </c>
      <c r="D825" s="35">
        <v>267.46600000000001</v>
      </c>
      <c r="E825" s="41">
        <v>812.32899999999995</v>
      </c>
      <c r="F825" s="35">
        <v>1274</v>
      </c>
      <c r="G825" s="35">
        <v>75</v>
      </c>
      <c r="H825" s="43">
        <v>600</v>
      </c>
      <c r="I825" s="35">
        <v>695</v>
      </c>
      <c r="J825" s="35">
        <v>50</v>
      </c>
      <c r="K825" s="36"/>
      <c r="L825" s="36"/>
      <c r="M825" s="36"/>
      <c r="N825" s="36"/>
      <c r="O825" s="36"/>
      <c r="P825" s="36"/>
      <c r="Q825" s="36"/>
      <c r="R825" s="36"/>
      <c r="S825" s="36"/>
      <c r="T825" s="36"/>
    </row>
    <row r="826" spans="1:20" ht="15.75">
      <c r="A826" s="13">
        <v>66657</v>
      </c>
      <c r="B826" s="44">
        <f t="shared" si="3"/>
        <v>30</v>
      </c>
      <c r="C826" s="35">
        <v>194.20500000000001</v>
      </c>
      <c r="D826" s="35">
        <v>267.46600000000001</v>
      </c>
      <c r="E826" s="41">
        <v>812.32899999999995</v>
      </c>
      <c r="F826" s="35">
        <v>1274</v>
      </c>
      <c r="G826" s="35">
        <v>50</v>
      </c>
      <c r="H826" s="43">
        <v>600</v>
      </c>
      <c r="I826" s="35">
        <v>695</v>
      </c>
      <c r="J826" s="35">
        <v>50</v>
      </c>
      <c r="K826" s="36"/>
      <c r="L826" s="36"/>
      <c r="M826" s="36"/>
      <c r="N826" s="36"/>
      <c r="O826" s="36"/>
      <c r="P826" s="36"/>
      <c r="Q826" s="36"/>
      <c r="R826" s="36"/>
      <c r="S826" s="36"/>
      <c r="T826" s="36"/>
    </row>
    <row r="827" spans="1:20" ht="15.75">
      <c r="A827" s="13">
        <v>66688</v>
      </c>
      <c r="B827" s="44">
        <f t="shared" si="3"/>
        <v>31</v>
      </c>
      <c r="C827" s="35">
        <v>194.20500000000001</v>
      </c>
      <c r="D827" s="35">
        <v>267.46600000000001</v>
      </c>
      <c r="E827" s="41">
        <v>812.32899999999995</v>
      </c>
      <c r="F827" s="35">
        <v>1274</v>
      </c>
      <c r="G827" s="35">
        <v>50</v>
      </c>
      <c r="H827" s="43">
        <v>600</v>
      </c>
      <c r="I827" s="35">
        <v>695</v>
      </c>
      <c r="J827" s="35">
        <v>0</v>
      </c>
      <c r="K827" s="36"/>
      <c r="L827" s="36"/>
      <c r="M827" s="36"/>
      <c r="N827" s="36"/>
      <c r="O827" s="36"/>
      <c r="P827" s="36"/>
      <c r="Q827" s="36"/>
      <c r="R827" s="36"/>
      <c r="S827" s="36"/>
      <c r="T827" s="36"/>
    </row>
    <row r="828" spans="1:20" ht="15.75">
      <c r="A828" s="13">
        <v>66719</v>
      </c>
      <c r="B828" s="44">
        <f t="shared" si="3"/>
        <v>31</v>
      </c>
      <c r="C828" s="35">
        <v>194.20500000000001</v>
      </c>
      <c r="D828" s="35">
        <v>267.46600000000001</v>
      </c>
      <c r="E828" s="41">
        <v>812.32899999999995</v>
      </c>
      <c r="F828" s="35">
        <v>1274</v>
      </c>
      <c r="G828" s="35">
        <v>50</v>
      </c>
      <c r="H828" s="43">
        <v>600</v>
      </c>
      <c r="I828" s="35">
        <v>695</v>
      </c>
      <c r="J828" s="35">
        <v>0</v>
      </c>
      <c r="K828" s="36"/>
      <c r="L828" s="36"/>
      <c r="M828" s="36"/>
      <c r="N828" s="36"/>
      <c r="O828" s="36"/>
      <c r="P828" s="36"/>
      <c r="Q828" s="36"/>
      <c r="R828" s="36"/>
      <c r="S828" s="36"/>
      <c r="T828" s="36"/>
    </row>
    <row r="829" spans="1:20" ht="15.75">
      <c r="A829" s="13">
        <v>66749</v>
      </c>
      <c r="B829" s="44">
        <f t="shared" si="3"/>
        <v>30</v>
      </c>
      <c r="C829" s="35">
        <v>194.20500000000001</v>
      </c>
      <c r="D829" s="35">
        <v>267.46600000000001</v>
      </c>
      <c r="E829" s="41">
        <v>812.32899999999995</v>
      </c>
      <c r="F829" s="35">
        <v>1274</v>
      </c>
      <c r="G829" s="35">
        <v>50</v>
      </c>
      <c r="H829" s="43">
        <v>600</v>
      </c>
      <c r="I829" s="35">
        <v>695</v>
      </c>
      <c r="J829" s="35">
        <v>0</v>
      </c>
      <c r="K829" s="36"/>
      <c r="L829" s="36"/>
      <c r="M829" s="36"/>
      <c r="N829" s="36"/>
      <c r="O829" s="36"/>
      <c r="P829" s="36"/>
      <c r="Q829" s="36"/>
      <c r="R829" s="36"/>
      <c r="S829" s="36"/>
      <c r="T829" s="36"/>
    </row>
    <row r="830" spans="1:20" ht="15.75">
      <c r="A830" s="13">
        <v>66780</v>
      </c>
      <c r="B830" s="44">
        <f t="shared" si="3"/>
        <v>31</v>
      </c>
      <c r="C830" s="35">
        <v>131.881</v>
      </c>
      <c r="D830" s="35">
        <v>277.16699999999997</v>
      </c>
      <c r="E830" s="41">
        <v>829.952</v>
      </c>
      <c r="F830" s="35">
        <v>1239</v>
      </c>
      <c r="G830" s="35">
        <v>75</v>
      </c>
      <c r="H830" s="43">
        <v>600</v>
      </c>
      <c r="I830" s="35">
        <v>695</v>
      </c>
      <c r="J830" s="35">
        <v>0</v>
      </c>
      <c r="K830" s="36"/>
      <c r="L830" s="36"/>
      <c r="M830" s="36"/>
      <c r="N830" s="36"/>
      <c r="O830" s="36"/>
      <c r="P830" s="36"/>
      <c r="Q830" s="36"/>
      <c r="R830" s="36"/>
      <c r="S830" s="36"/>
      <c r="T830" s="36"/>
    </row>
    <row r="831" spans="1:20" ht="15.75">
      <c r="A831" s="13">
        <v>66810</v>
      </c>
      <c r="B831" s="44">
        <f t="shared" si="3"/>
        <v>30</v>
      </c>
      <c r="C831" s="35">
        <v>122.58</v>
      </c>
      <c r="D831" s="35">
        <v>297.94099999999997</v>
      </c>
      <c r="E831" s="41">
        <v>729.47900000000004</v>
      </c>
      <c r="F831" s="35">
        <v>1150</v>
      </c>
      <c r="G831" s="35">
        <v>100</v>
      </c>
      <c r="H831" s="43">
        <v>600</v>
      </c>
      <c r="I831" s="35">
        <v>695</v>
      </c>
      <c r="J831" s="35">
        <v>50</v>
      </c>
      <c r="K831" s="36"/>
      <c r="L831" s="36"/>
      <c r="M831" s="36"/>
      <c r="N831" s="36"/>
      <c r="O831" s="36"/>
      <c r="P831" s="36"/>
      <c r="Q831" s="36"/>
      <c r="R831" s="36"/>
      <c r="S831" s="36"/>
      <c r="T831" s="36"/>
    </row>
    <row r="832" spans="1:20" ht="15.75">
      <c r="A832" s="13">
        <v>66841</v>
      </c>
      <c r="B832" s="44">
        <f t="shared" si="3"/>
        <v>31</v>
      </c>
      <c r="C832" s="35">
        <v>122.58</v>
      </c>
      <c r="D832" s="35">
        <v>297.94099999999997</v>
      </c>
      <c r="E832" s="41">
        <v>729.47900000000004</v>
      </c>
      <c r="F832" s="35">
        <v>1150</v>
      </c>
      <c r="G832" s="35">
        <v>100</v>
      </c>
      <c r="H832" s="43">
        <v>600</v>
      </c>
      <c r="I832" s="35">
        <v>695</v>
      </c>
      <c r="J832" s="35">
        <v>50</v>
      </c>
      <c r="K832" s="36"/>
      <c r="L832" s="36"/>
      <c r="M832" s="36"/>
      <c r="N832" s="36"/>
      <c r="O832" s="36"/>
      <c r="P832" s="36"/>
      <c r="Q832" s="36"/>
      <c r="R832" s="36"/>
      <c r="S832" s="36"/>
      <c r="T832" s="36"/>
    </row>
    <row r="833" spans="1:20" ht="15.75">
      <c r="A833" s="13">
        <v>66872</v>
      </c>
      <c r="B833" s="44">
        <f t="shared" si="3"/>
        <v>31</v>
      </c>
      <c r="C833" s="35">
        <v>122.58</v>
      </c>
      <c r="D833" s="35">
        <v>297.94099999999997</v>
      </c>
      <c r="E833" s="41">
        <v>729.47900000000004</v>
      </c>
      <c r="F833" s="35">
        <v>1150</v>
      </c>
      <c r="G833" s="35">
        <v>100</v>
      </c>
      <c r="H833" s="43">
        <v>600</v>
      </c>
      <c r="I833" s="35">
        <v>695</v>
      </c>
      <c r="J833" s="35">
        <v>50</v>
      </c>
      <c r="K833" s="36"/>
      <c r="L833" s="36"/>
      <c r="M833" s="36"/>
      <c r="N833" s="36"/>
      <c r="O833" s="36"/>
      <c r="P833" s="36"/>
      <c r="Q833" s="36"/>
      <c r="R833" s="36"/>
      <c r="S833" s="36"/>
      <c r="T833" s="36"/>
    </row>
    <row r="834" spans="1:20" ht="15.75">
      <c r="A834" s="13">
        <v>66900</v>
      </c>
      <c r="B834" s="44">
        <f t="shared" si="3"/>
        <v>28</v>
      </c>
      <c r="C834" s="35">
        <v>122.58</v>
      </c>
      <c r="D834" s="35">
        <v>297.94099999999997</v>
      </c>
      <c r="E834" s="41">
        <v>729.47900000000004</v>
      </c>
      <c r="F834" s="35">
        <v>1150</v>
      </c>
      <c r="G834" s="35">
        <v>100</v>
      </c>
      <c r="H834" s="43">
        <v>600</v>
      </c>
      <c r="I834" s="35">
        <v>695</v>
      </c>
      <c r="J834" s="35">
        <v>50</v>
      </c>
      <c r="K834" s="36"/>
      <c r="L834" s="36"/>
      <c r="M834" s="36"/>
      <c r="N834" s="36"/>
      <c r="O834" s="36"/>
      <c r="P834" s="36"/>
      <c r="Q834" s="36"/>
      <c r="R834" s="36"/>
      <c r="S834" s="36"/>
      <c r="T834" s="36"/>
    </row>
    <row r="835" spans="1:20" ht="15.75">
      <c r="A835" s="13">
        <v>66931</v>
      </c>
      <c r="B835" s="44">
        <f t="shared" si="3"/>
        <v>31</v>
      </c>
      <c r="C835" s="35">
        <v>122.58</v>
      </c>
      <c r="D835" s="35">
        <v>297.94099999999997</v>
      </c>
      <c r="E835" s="41">
        <v>729.47900000000004</v>
      </c>
      <c r="F835" s="35">
        <v>1150</v>
      </c>
      <c r="G835" s="35">
        <v>100</v>
      </c>
      <c r="H835" s="43">
        <v>600</v>
      </c>
      <c r="I835" s="35">
        <v>695</v>
      </c>
      <c r="J835" s="35">
        <v>50</v>
      </c>
      <c r="K835" s="36"/>
      <c r="L835" s="36"/>
      <c r="M835" s="36"/>
      <c r="N835" s="36"/>
      <c r="O835" s="36"/>
      <c r="P835" s="36"/>
      <c r="Q835" s="36"/>
      <c r="R835" s="36"/>
      <c r="S835" s="36"/>
      <c r="T835" s="36"/>
    </row>
    <row r="836" spans="1:20" ht="15.75">
      <c r="A836" s="13">
        <v>66961</v>
      </c>
      <c r="B836" s="44">
        <f t="shared" si="3"/>
        <v>30</v>
      </c>
      <c r="C836" s="35">
        <v>141.29300000000001</v>
      </c>
      <c r="D836" s="35">
        <v>267.99299999999999</v>
      </c>
      <c r="E836" s="41">
        <v>829.71400000000006</v>
      </c>
      <c r="F836" s="35">
        <v>1239</v>
      </c>
      <c r="G836" s="35">
        <v>100</v>
      </c>
      <c r="H836" s="43">
        <v>600</v>
      </c>
      <c r="I836" s="35">
        <v>695</v>
      </c>
      <c r="J836" s="35">
        <v>50</v>
      </c>
      <c r="K836" s="36"/>
      <c r="L836" s="36"/>
      <c r="M836" s="36"/>
      <c r="N836" s="36"/>
      <c r="O836" s="36"/>
      <c r="P836" s="36"/>
      <c r="Q836" s="36"/>
      <c r="R836" s="36"/>
      <c r="S836" s="36"/>
      <c r="T836" s="36"/>
    </row>
    <row r="837" spans="1:20" ht="15.75">
      <c r="A837" s="13">
        <v>66992</v>
      </c>
      <c r="B837" s="44">
        <f t="shared" ref="B837:B900" si="4">EOMONTH(A837,0)-EOMONTH(A837,-1)</f>
        <v>31</v>
      </c>
      <c r="C837" s="35">
        <v>194.20500000000001</v>
      </c>
      <c r="D837" s="35">
        <v>267.46600000000001</v>
      </c>
      <c r="E837" s="41">
        <v>812.32899999999995</v>
      </c>
      <c r="F837" s="35">
        <v>1274</v>
      </c>
      <c r="G837" s="35">
        <v>75</v>
      </c>
      <c r="H837" s="43">
        <v>600</v>
      </c>
      <c r="I837" s="35">
        <v>695</v>
      </c>
      <c r="J837" s="35">
        <v>50</v>
      </c>
      <c r="K837" s="36"/>
      <c r="L837" s="36"/>
      <c r="M837" s="36"/>
      <c r="N837" s="36"/>
      <c r="O837" s="36"/>
      <c r="P837" s="36"/>
      <c r="Q837" s="36"/>
      <c r="R837" s="36"/>
      <c r="S837" s="36"/>
      <c r="T837" s="36"/>
    </row>
    <row r="838" spans="1:20" ht="15.75">
      <c r="A838" s="13">
        <v>67022</v>
      </c>
      <c r="B838" s="44">
        <f t="shared" si="4"/>
        <v>30</v>
      </c>
      <c r="C838" s="35">
        <v>194.20500000000001</v>
      </c>
      <c r="D838" s="35">
        <v>267.46600000000001</v>
      </c>
      <c r="E838" s="41">
        <v>812.32899999999995</v>
      </c>
      <c r="F838" s="35">
        <v>1274</v>
      </c>
      <c r="G838" s="35">
        <v>50</v>
      </c>
      <c r="H838" s="43">
        <v>600</v>
      </c>
      <c r="I838" s="35">
        <v>695</v>
      </c>
      <c r="J838" s="35">
        <v>50</v>
      </c>
      <c r="K838" s="36"/>
      <c r="L838" s="36"/>
      <c r="M838" s="36"/>
      <c r="N838" s="36"/>
      <c r="O838" s="36"/>
      <c r="P838" s="36"/>
      <c r="Q838" s="36"/>
      <c r="R838" s="36"/>
      <c r="S838" s="36"/>
      <c r="T838" s="36"/>
    </row>
    <row r="839" spans="1:20" ht="15.75">
      <c r="A839" s="13">
        <v>67053</v>
      </c>
      <c r="B839" s="44">
        <f t="shared" si="4"/>
        <v>31</v>
      </c>
      <c r="C839" s="35">
        <v>194.20500000000001</v>
      </c>
      <c r="D839" s="35">
        <v>267.46600000000001</v>
      </c>
      <c r="E839" s="41">
        <v>812.32899999999995</v>
      </c>
      <c r="F839" s="35">
        <v>1274</v>
      </c>
      <c r="G839" s="35">
        <v>50</v>
      </c>
      <c r="H839" s="43">
        <v>600</v>
      </c>
      <c r="I839" s="35">
        <v>695</v>
      </c>
      <c r="J839" s="35">
        <v>0</v>
      </c>
      <c r="K839" s="36"/>
      <c r="L839" s="36"/>
      <c r="M839" s="36"/>
      <c r="N839" s="36"/>
      <c r="O839" s="36"/>
      <c r="P839" s="36"/>
      <c r="Q839" s="36"/>
      <c r="R839" s="36"/>
      <c r="S839" s="36"/>
      <c r="T839" s="36"/>
    </row>
    <row r="840" spans="1:20" ht="15.75">
      <c r="A840" s="13">
        <v>67084</v>
      </c>
      <c r="B840" s="44">
        <f t="shared" si="4"/>
        <v>31</v>
      </c>
      <c r="C840" s="35">
        <v>194.20500000000001</v>
      </c>
      <c r="D840" s="35">
        <v>267.46600000000001</v>
      </c>
      <c r="E840" s="41">
        <v>812.32899999999995</v>
      </c>
      <c r="F840" s="35">
        <v>1274</v>
      </c>
      <c r="G840" s="35">
        <v>50</v>
      </c>
      <c r="H840" s="43">
        <v>600</v>
      </c>
      <c r="I840" s="35">
        <v>695</v>
      </c>
      <c r="J840" s="35">
        <v>0</v>
      </c>
      <c r="K840" s="36"/>
      <c r="L840" s="36"/>
      <c r="M840" s="36"/>
      <c r="N840" s="36"/>
      <c r="O840" s="36"/>
      <c r="P840" s="36"/>
      <c r="Q840" s="36"/>
      <c r="R840" s="36"/>
      <c r="S840" s="36"/>
      <c r="T840" s="36"/>
    </row>
    <row r="841" spans="1:20" ht="15.75">
      <c r="A841" s="13">
        <v>67114</v>
      </c>
      <c r="B841" s="44">
        <f t="shared" si="4"/>
        <v>30</v>
      </c>
      <c r="C841" s="35">
        <v>194.20500000000001</v>
      </c>
      <c r="D841" s="35">
        <v>267.46600000000001</v>
      </c>
      <c r="E841" s="41">
        <v>812.32899999999995</v>
      </c>
      <c r="F841" s="35">
        <v>1274</v>
      </c>
      <c r="G841" s="35">
        <v>50</v>
      </c>
      <c r="H841" s="43">
        <v>600</v>
      </c>
      <c r="I841" s="35">
        <v>695</v>
      </c>
      <c r="J841" s="35">
        <v>0</v>
      </c>
      <c r="K841" s="36"/>
      <c r="L841" s="36"/>
      <c r="M841" s="36"/>
      <c r="N841" s="36"/>
      <c r="O841" s="36"/>
      <c r="P841" s="36"/>
      <c r="Q841" s="36"/>
      <c r="R841" s="36"/>
      <c r="S841" s="36"/>
      <c r="T841" s="36"/>
    </row>
    <row r="842" spans="1:20" ht="15.75">
      <c r="A842" s="13">
        <v>67145</v>
      </c>
      <c r="B842" s="44">
        <f t="shared" si="4"/>
        <v>31</v>
      </c>
      <c r="C842" s="35">
        <v>131.881</v>
      </c>
      <c r="D842" s="35">
        <v>277.16699999999997</v>
      </c>
      <c r="E842" s="41">
        <v>829.952</v>
      </c>
      <c r="F842" s="35">
        <v>1239</v>
      </c>
      <c r="G842" s="35">
        <v>75</v>
      </c>
      <c r="H842" s="43">
        <v>600</v>
      </c>
      <c r="I842" s="35">
        <v>695</v>
      </c>
      <c r="J842" s="35">
        <v>0</v>
      </c>
      <c r="K842" s="36"/>
      <c r="L842" s="36"/>
      <c r="M842" s="36"/>
      <c r="N842" s="36"/>
      <c r="O842" s="36"/>
      <c r="P842" s="36"/>
      <c r="Q842" s="36"/>
      <c r="R842" s="36"/>
      <c r="S842" s="36"/>
      <c r="T842" s="36"/>
    </row>
    <row r="843" spans="1:20" ht="15.75">
      <c r="A843" s="13">
        <v>67175</v>
      </c>
      <c r="B843" s="44">
        <f t="shared" si="4"/>
        <v>30</v>
      </c>
      <c r="C843" s="35">
        <v>122.58</v>
      </c>
      <c r="D843" s="35">
        <v>297.94099999999997</v>
      </c>
      <c r="E843" s="41">
        <v>729.47900000000004</v>
      </c>
      <c r="F843" s="35">
        <v>1150</v>
      </c>
      <c r="G843" s="35">
        <v>100</v>
      </c>
      <c r="H843" s="43">
        <v>600</v>
      </c>
      <c r="I843" s="35">
        <v>695</v>
      </c>
      <c r="J843" s="35">
        <v>50</v>
      </c>
      <c r="K843" s="36"/>
      <c r="L843" s="36"/>
      <c r="M843" s="36"/>
      <c r="N843" s="36"/>
      <c r="O843" s="36"/>
      <c r="P843" s="36"/>
      <c r="Q843" s="36"/>
      <c r="R843" s="36"/>
      <c r="S843" s="36"/>
      <c r="T843" s="36"/>
    </row>
    <row r="844" spans="1:20" ht="15.75">
      <c r="A844" s="13">
        <v>67206</v>
      </c>
      <c r="B844" s="44">
        <f t="shared" si="4"/>
        <v>31</v>
      </c>
      <c r="C844" s="35">
        <v>122.58</v>
      </c>
      <c r="D844" s="35">
        <v>297.94099999999997</v>
      </c>
      <c r="E844" s="41">
        <v>729.47900000000004</v>
      </c>
      <c r="F844" s="35">
        <v>1150</v>
      </c>
      <c r="G844" s="35">
        <v>100</v>
      </c>
      <c r="H844" s="43">
        <v>600</v>
      </c>
      <c r="I844" s="35">
        <v>695</v>
      </c>
      <c r="J844" s="35">
        <v>50</v>
      </c>
      <c r="K844" s="36"/>
      <c r="L844" s="36"/>
      <c r="M844" s="36"/>
      <c r="N844" s="36"/>
      <c r="O844" s="36"/>
      <c r="P844" s="36"/>
      <c r="Q844" s="36"/>
      <c r="R844" s="36"/>
      <c r="S844" s="36"/>
      <c r="T844" s="36"/>
    </row>
    <row r="845" spans="1:20" ht="15.75">
      <c r="A845" s="13">
        <v>67237</v>
      </c>
      <c r="B845" s="44">
        <f t="shared" si="4"/>
        <v>31</v>
      </c>
      <c r="C845" s="35">
        <v>122.58</v>
      </c>
      <c r="D845" s="35">
        <v>297.94099999999997</v>
      </c>
      <c r="E845" s="41">
        <v>729.47900000000004</v>
      </c>
      <c r="F845" s="35">
        <v>1150</v>
      </c>
      <c r="G845" s="35">
        <v>100</v>
      </c>
      <c r="H845" s="43">
        <v>600</v>
      </c>
      <c r="I845" s="35">
        <v>695</v>
      </c>
      <c r="J845" s="35">
        <v>50</v>
      </c>
      <c r="K845" s="36"/>
      <c r="L845" s="36"/>
      <c r="M845" s="36"/>
      <c r="N845" s="36"/>
      <c r="O845" s="36"/>
      <c r="P845" s="36"/>
      <c r="Q845" s="36"/>
      <c r="R845" s="36"/>
      <c r="S845" s="36"/>
      <c r="T845" s="36"/>
    </row>
    <row r="846" spans="1:20" ht="15.75">
      <c r="A846" s="13">
        <v>67266</v>
      </c>
      <c r="B846" s="44">
        <f t="shared" si="4"/>
        <v>29</v>
      </c>
      <c r="C846" s="35">
        <v>122.58</v>
      </c>
      <c r="D846" s="35">
        <v>297.94099999999997</v>
      </c>
      <c r="E846" s="41">
        <v>729.47900000000004</v>
      </c>
      <c r="F846" s="35">
        <v>1150</v>
      </c>
      <c r="G846" s="35">
        <v>100</v>
      </c>
      <c r="H846" s="43">
        <v>600</v>
      </c>
      <c r="I846" s="35">
        <v>695</v>
      </c>
      <c r="J846" s="35">
        <v>50</v>
      </c>
      <c r="K846" s="36"/>
      <c r="L846" s="36"/>
      <c r="M846" s="36"/>
      <c r="N846" s="36"/>
      <c r="O846" s="36"/>
      <c r="P846" s="36"/>
      <c r="Q846" s="36"/>
      <c r="R846" s="36"/>
      <c r="S846" s="36"/>
      <c r="T846" s="36"/>
    </row>
    <row r="847" spans="1:20" ht="15.75">
      <c r="A847" s="13">
        <v>67297</v>
      </c>
      <c r="B847" s="44">
        <f t="shared" si="4"/>
        <v>31</v>
      </c>
      <c r="C847" s="35">
        <v>122.58</v>
      </c>
      <c r="D847" s="35">
        <v>297.94099999999997</v>
      </c>
      <c r="E847" s="41">
        <v>729.47900000000004</v>
      </c>
      <c r="F847" s="35">
        <v>1150</v>
      </c>
      <c r="G847" s="35">
        <v>100</v>
      </c>
      <c r="H847" s="43">
        <v>600</v>
      </c>
      <c r="I847" s="35">
        <v>695</v>
      </c>
      <c r="J847" s="35">
        <v>50</v>
      </c>
      <c r="K847" s="36"/>
      <c r="L847" s="36"/>
      <c r="M847" s="36"/>
      <c r="N847" s="36"/>
      <c r="O847" s="36"/>
      <c r="P847" s="36"/>
      <c r="Q847" s="36"/>
      <c r="R847" s="36"/>
      <c r="S847" s="36"/>
      <c r="T847" s="36"/>
    </row>
    <row r="848" spans="1:20" ht="15.75">
      <c r="A848" s="13">
        <v>67327</v>
      </c>
      <c r="B848" s="44">
        <f t="shared" si="4"/>
        <v>30</v>
      </c>
      <c r="C848" s="35">
        <v>141.29300000000001</v>
      </c>
      <c r="D848" s="35">
        <v>267.99299999999999</v>
      </c>
      <c r="E848" s="41">
        <v>829.71400000000006</v>
      </c>
      <c r="F848" s="35">
        <v>1239</v>
      </c>
      <c r="G848" s="35">
        <v>100</v>
      </c>
      <c r="H848" s="43">
        <v>600</v>
      </c>
      <c r="I848" s="35">
        <v>695</v>
      </c>
      <c r="J848" s="35">
        <v>50</v>
      </c>
      <c r="K848" s="36"/>
      <c r="L848" s="36"/>
      <c r="M848" s="36"/>
      <c r="N848" s="36"/>
      <c r="O848" s="36"/>
      <c r="P848" s="36"/>
      <c r="Q848" s="36"/>
      <c r="R848" s="36"/>
      <c r="S848" s="36"/>
      <c r="T848" s="36"/>
    </row>
    <row r="849" spans="1:20" ht="15.75">
      <c r="A849" s="13">
        <v>67358</v>
      </c>
      <c r="B849" s="44">
        <f t="shared" si="4"/>
        <v>31</v>
      </c>
      <c r="C849" s="35">
        <v>194.20500000000001</v>
      </c>
      <c r="D849" s="35">
        <v>267.46600000000001</v>
      </c>
      <c r="E849" s="41">
        <v>812.32899999999995</v>
      </c>
      <c r="F849" s="35">
        <v>1274</v>
      </c>
      <c r="G849" s="35">
        <v>75</v>
      </c>
      <c r="H849" s="43">
        <v>600</v>
      </c>
      <c r="I849" s="35">
        <v>695</v>
      </c>
      <c r="J849" s="35">
        <v>50</v>
      </c>
      <c r="K849" s="36"/>
      <c r="L849" s="36"/>
      <c r="M849" s="36"/>
      <c r="N849" s="36"/>
      <c r="O849" s="36"/>
      <c r="P849" s="36"/>
      <c r="Q849" s="36"/>
      <c r="R849" s="36"/>
      <c r="S849" s="36"/>
      <c r="T849" s="36"/>
    </row>
    <row r="850" spans="1:20" ht="15.75">
      <c r="A850" s="13">
        <v>67388</v>
      </c>
      <c r="B850" s="44">
        <f t="shared" si="4"/>
        <v>30</v>
      </c>
      <c r="C850" s="35">
        <v>194.20500000000001</v>
      </c>
      <c r="D850" s="35">
        <v>267.46600000000001</v>
      </c>
      <c r="E850" s="41">
        <v>812.32899999999995</v>
      </c>
      <c r="F850" s="35">
        <v>1274</v>
      </c>
      <c r="G850" s="35">
        <v>50</v>
      </c>
      <c r="H850" s="43">
        <v>600</v>
      </c>
      <c r="I850" s="35">
        <v>695</v>
      </c>
      <c r="J850" s="35">
        <v>50</v>
      </c>
      <c r="K850" s="36"/>
      <c r="L850" s="36"/>
      <c r="M850" s="36"/>
      <c r="N850" s="36"/>
      <c r="O850" s="36"/>
      <c r="P850" s="36"/>
      <c r="Q850" s="36"/>
      <c r="R850" s="36"/>
      <c r="S850" s="36"/>
      <c r="T850" s="36"/>
    </row>
    <row r="851" spans="1:20" ht="15.75">
      <c r="A851" s="13">
        <v>67419</v>
      </c>
      <c r="B851" s="44">
        <f t="shared" si="4"/>
        <v>31</v>
      </c>
      <c r="C851" s="35">
        <v>194.20500000000001</v>
      </c>
      <c r="D851" s="35">
        <v>267.46600000000001</v>
      </c>
      <c r="E851" s="41">
        <v>812.32899999999995</v>
      </c>
      <c r="F851" s="35">
        <v>1274</v>
      </c>
      <c r="G851" s="35">
        <v>50</v>
      </c>
      <c r="H851" s="43">
        <v>600</v>
      </c>
      <c r="I851" s="35">
        <v>695</v>
      </c>
      <c r="J851" s="35">
        <v>0</v>
      </c>
      <c r="K851" s="36"/>
      <c r="L851" s="36"/>
      <c r="M851" s="36"/>
      <c r="N851" s="36"/>
      <c r="O851" s="36"/>
      <c r="P851" s="36"/>
      <c r="Q851" s="36"/>
      <c r="R851" s="36"/>
      <c r="S851" s="36"/>
      <c r="T851" s="36"/>
    </row>
    <row r="852" spans="1:20" ht="15.75">
      <c r="A852" s="13">
        <v>67450</v>
      </c>
      <c r="B852" s="44">
        <f t="shared" si="4"/>
        <v>31</v>
      </c>
      <c r="C852" s="35">
        <v>194.20500000000001</v>
      </c>
      <c r="D852" s="35">
        <v>267.46600000000001</v>
      </c>
      <c r="E852" s="41">
        <v>812.32899999999995</v>
      </c>
      <c r="F852" s="35">
        <v>1274</v>
      </c>
      <c r="G852" s="35">
        <v>50</v>
      </c>
      <c r="H852" s="43">
        <v>600</v>
      </c>
      <c r="I852" s="35">
        <v>695</v>
      </c>
      <c r="J852" s="35">
        <v>0</v>
      </c>
      <c r="K852" s="36"/>
      <c r="L852" s="36"/>
      <c r="M852" s="36"/>
      <c r="N852" s="36"/>
      <c r="O852" s="36"/>
      <c r="P852" s="36"/>
      <c r="Q852" s="36"/>
      <c r="R852" s="36"/>
      <c r="S852" s="36"/>
      <c r="T852" s="36"/>
    </row>
    <row r="853" spans="1:20" ht="15.75">
      <c r="A853" s="13">
        <v>67480</v>
      </c>
      <c r="B853" s="44">
        <f t="shared" si="4"/>
        <v>30</v>
      </c>
      <c r="C853" s="35">
        <v>194.20500000000001</v>
      </c>
      <c r="D853" s="35">
        <v>267.46600000000001</v>
      </c>
      <c r="E853" s="41">
        <v>812.32899999999995</v>
      </c>
      <c r="F853" s="35">
        <v>1274</v>
      </c>
      <c r="G853" s="35">
        <v>50</v>
      </c>
      <c r="H853" s="43">
        <v>600</v>
      </c>
      <c r="I853" s="35">
        <v>695</v>
      </c>
      <c r="J853" s="35">
        <v>0</v>
      </c>
      <c r="K853" s="36"/>
      <c r="L853" s="36"/>
      <c r="M853" s="36"/>
      <c r="N853" s="36"/>
      <c r="O853" s="36"/>
      <c r="P853" s="36"/>
      <c r="Q853" s="36"/>
      <c r="R853" s="36"/>
      <c r="S853" s="36"/>
      <c r="T853" s="36"/>
    </row>
    <row r="854" spans="1:20" ht="15.75">
      <c r="A854" s="13">
        <v>67511</v>
      </c>
      <c r="B854" s="44">
        <f t="shared" si="4"/>
        <v>31</v>
      </c>
      <c r="C854" s="35">
        <v>131.881</v>
      </c>
      <c r="D854" s="35">
        <v>277.16699999999997</v>
      </c>
      <c r="E854" s="41">
        <v>829.952</v>
      </c>
      <c r="F854" s="35">
        <v>1239</v>
      </c>
      <c r="G854" s="35">
        <v>75</v>
      </c>
      <c r="H854" s="43">
        <v>600</v>
      </c>
      <c r="I854" s="35">
        <v>695</v>
      </c>
      <c r="J854" s="35">
        <v>0</v>
      </c>
      <c r="K854" s="36"/>
      <c r="L854" s="36"/>
      <c r="M854" s="36"/>
      <c r="N854" s="36"/>
      <c r="O854" s="36"/>
      <c r="P854" s="36"/>
      <c r="Q854" s="36"/>
      <c r="R854" s="36"/>
      <c r="S854" s="36"/>
      <c r="T854" s="36"/>
    </row>
    <row r="855" spans="1:20" ht="15.75">
      <c r="A855" s="13">
        <v>67541</v>
      </c>
      <c r="B855" s="44">
        <f t="shared" si="4"/>
        <v>30</v>
      </c>
      <c r="C855" s="35">
        <v>122.58</v>
      </c>
      <c r="D855" s="35">
        <v>297.94099999999997</v>
      </c>
      <c r="E855" s="41">
        <v>729.47900000000004</v>
      </c>
      <c r="F855" s="35">
        <v>1150</v>
      </c>
      <c r="G855" s="35">
        <v>100</v>
      </c>
      <c r="H855" s="43">
        <v>600</v>
      </c>
      <c r="I855" s="35">
        <v>695</v>
      </c>
      <c r="J855" s="35">
        <v>50</v>
      </c>
      <c r="K855" s="36"/>
      <c r="L855" s="36"/>
      <c r="M855" s="36"/>
      <c r="N855" s="36"/>
      <c r="O855" s="36"/>
      <c r="P855" s="36"/>
      <c r="Q855" s="36"/>
      <c r="R855" s="36"/>
      <c r="S855" s="36"/>
      <c r="T855" s="36"/>
    </row>
    <row r="856" spans="1:20" ht="15.75">
      <c r="A856" s="13">
        <v>67572</v>
      </c>
      <c r="B856" s="44">
        <f t="shared" si="4"/>
        <v>31</v>
      </c>
      <c r="C856" s="35">
        <v>122.58</v>
      </c>
      <c r="D856" s="35">
        <v>297.94099999999997</v>
      </c>
      <c r="E856" s="41">
        <v>729.47900000000004</v>
      </c>
      <c r="F856" s="35">
        <v>1150</v>
      </c>
      <c r="G856" s="35">
        <v>100</v>
      </c>
      <c r="H856" s="43">
        <v>600</v>
      </c>
      <c r="I856" s="35">
        <v>695</v>
      </c>
      <c r="J856" s="35">
        <v>50</v>
      </c>
      <c r="K856" s="36"/>
      <c r="L856" s="36"/>
      <c r="M856" s="36"/>
      <c r="N856" s="36"/>
      <c r="O856" s="36"/>
      <c r="P856" s="36"/>
      <c r="Q856" s="36"/>
      <c r="R856" s="36"/>
      <c r="S856" s="36"/>
      <c r="T856" s="36"/>
    </row>
    <row r="857" spans="1:20" ht="15.75">
      <c r="A857" s="13">
        <v>67603</v>
      </c>
      <c r="B857" s="44">
        <f t="shared" si="4"/>
        <v>31</v>
      </c>
      <c r="C857" s="35">
        <v>122.58</v>
      </c>
      <c r="D857" s="35">
        <v>297.94099999999997</v>
      </c>
      <c r="E857" s="41">
        <v>729.47900000000004</v>
      </c>
      <c r="F857" s="35">
        <v>1150</v>
      </c>
      <c r="G857" s="35">
        <v>100</v>
      </c>
      <c r="H857" s="43">
        <v>600</v>
      </c>
      <c r="I857" s="35">
        <v>695</v>
      </c>
      <c r="J857" s="35">
        <v>50</v>
      </c>
      <c r="K857" s="36"/>
      <c r="L857" s="36"/>
      <c r="M857" s="36"/>
      <c r="N857" s="36"/>
      <c r="O857" s="36"/>
      <c r="P857" s="36"/>
      <c r="Q857" s="36"/>
      <c r="R857" s="36"/>
      <c r="S857" s="36"/>
      <c r="T857" s="36"/>
    </row>
    <row r="858" spans="1:20" ht="15.75">
      <c r="A858" s="13">
        <v>67631</v>
      </c>
      <c r="B858" s="44">
        <f t="shared" si="4"/>
        <v>28</v>
      </c>
      <c r="C858" s="35">
        <v>122.58</v>
      </c>
      <c r="D858" s="35">
        <v>297.94099999999997</v>
      </c>
      <c r="E858" s="41">
        <v>729.47900000000004</v>
      </c>
      <c r="F858" s="35">
        <v>1150</v>
      </c>
      <c r="G858" s="35">
        <v>100</v>
      </c>
      <c r="H858" s="43">
        <v>600</v>
      </c>
      <c r="I858" s="35">
        <v>695</v>
      </c>
      <c r="J858" s="35">
        <v>50</v>
      </c>
      <c r="K858" s="36"/>
      <c r="L858" s="36"/>
      <c r="M858" s="36"/>
      <c r="N858" s="36"/>
      <c r="O858" s="36"/>
      <c r="P858" s="36"/>
      <c r="Q858" s="36"/>
      <c r="R858" s="36"/>
      <c r="S858" s="36"/>
      <c r="T858" s="36"/>
    </row>
    <row r="859" spans="1:20" ht="15.75">
      <c r="A859" s="13">
        <v>67662</v>
      </c>
      <c r="B859" s="44">
        <f t="shared" si="4"/>
        <v>31</v>
      </c>
      <c r="C859" s="35">
        <v>122.58</v>
      </c>
      <c r="D859" s="35">
        <v>297.94099999999997</v>
      </c>
      <c r="E859" s="41">
        <v>729.47900000000004</v>
      </c>
      <c r="F859" s="35">
        <v>1150</v>
      </c>
      <c r="G859" s="35">
        <v>100</v>
      </c>
      <c r="H859" s="43">
        <v>600</v>
      </c>
      <c r="I859" s="35">
        <v>695</v>
      </c>
      <c r="J859" s="35">
        <v>50</v>
      </c>
      <c r="K859" s="36"/>
      <c r="L859" s="36"/>
      <c r="M859" s="36"/>
      <c r="N859" s="36"/>
      <c r="O859" s="36"/>
      <c r="P859" s="36"/>
      <c r="Q859" s="36"/>
      <c r="R859" s="36"/>
      <c r="S859" s="36"/>
      <c r="T859" s="36"/>
    </row>
    <row r="860" spans="1:20" ht="15.75">
      <c r="A860" s="13">
        <v>67692</v>
      </c>
      <c r="B860" s="44">
        <f t="shared" si="4"/>
        <v>30</v>
      </c>
      <c r="C860" s="35">
        <v>141.29300000000001</v>
      </c>
      <c r="D860" s="35">
        <v>267.99299999999999</v>
      </c>
      <c r="E860" s="41">
        <v>829.71400000000006</v>
      </c>
      <c r="F860" s="35">
        <v>1239</v>
      </c>
      <c r="G860" s="35">
        <v>100</v>
      </c>
      <c r="H860" s="43">
        <v>600</v>
      </c>
      <c r="I860" s="35">
        <v>695</v>
      </c>
      <c r="J860" s="35">
        <v>50</v>
      </c>
      <c r="K860" s="36"/>
      <c r="L860" s="36"/>
      <c r="M860" s="36"/>
      <c r="N860" s="36"/>
      <c r="O860" s="36"/>
      <c r="P860" s="36"/>
      <c r="Q860" s="36"/>
      <c r="R860" s="36"/>
      <c r="S860" s="36"/>
      <c r="T860" s="36"/>
    </row>
    <row r="861" spans="1:20" ht="15.75">
      <c r="A861" s="13">
        <v>67723</v>
      </c>
      <c r="B861" s="44">
        <f t="shared" si="4"/>
        <v>31</v>
      </c>
      <c r="C861" s="35">
        <v>194.20500000000001</v>
      </c>
      <c r="D861" s="35">
        <v>267.46600000000001</v>
      </c>
      <c r="E861" s="41">
        <v>812.32899999999995</v>
      </c>
      <c r="F861" s="35">
        <v>1274</v>
      </c>
      <c r="G861" s="35">
        <v>75</v>
      </c>
      <c r="H861" s="43">
        <v>600</v>
      </c>
      <c r="I861" s="35">
        <v>695</v>
      </c>
      <c r="J861" s="35">
        <v>50</v>
      </c>
      <c r="K861" s="36"/>
      <c r="L861" s="36"/>
      <c r="M861" s="36"/>
      <c r="N861" s="36"/>
      <c r="O861" s="36"/>
      <c r="P861" s="36"/>
      <c r="Q861" s="36"/>
      <c r="R861" s="36"/>
      <c r="S861" s="36"/>
      <c r="T861" s="36"/>
    </row>
    <row r="862" spans="1:20" ht="15.75">
      <c r="A862" s="13">
        <v>67753</v>
      </c>
      <c r="B862" s="44">
        <f t="shared" si="4"/>
        <v>30</v>
      </c>
      <c r="C862" s="35">
        <v>194.20500000000001</v>
      </c>
      <c r="D862" s="35">
        <v>267.46600000000001</v>
      </c>
      <c r="E862" s="41">
        <v>812.32899999999995</v>
      </c>
      <c r="F862" s="35">
        <v>1274</v>
      </c>
      <c r="G862" s="35">
        <v>50</v>
      </c>
      <c r="H862" s="43">
        <v>600</v>
      </c>
      <c r="I862" s="35">
        <v>695</v>
      </c>
      <c r="J862" s="35">
        <v>50</v>
      </c>
      <c r="K862" s="36"/>
      <c r="L862" s="36"/>
      <c r="M862" s="36"/>
      <c r="N862" s="36"/>
      <c r="O862" s="36"/>
      <c r="P862" s="36"/>
      <c r="Q862" s="36"/>
      <c r="R862" s="36"/>
      <c r="S862" s="36"/>
      <c r="T862" s="36"/>
    </row>
    <row r="863" spans="1:20" ht="15.75">
      <c r="A863" s="13">
        <v>67784</v>
      </c>
      <c r="B863" s="44">
        <f t="shared" si="4"/>
        <v>31</v>
      </c>
      <c r="C863" s="35">
        <v>194.20500000000001</v>
      </c>
      <c r="D863" s="35">
        <v>267.46600000000001</v>
      </c>
      <c r="E863" s="41">
        <v>812.32899999999995</v>
      </c>
      <c r="F863" s="35">
        <v>1274</v>
      </c>
      <c r="G863" s="35">
        <v>50</v>
      </c>
      <c r="H863" s="43">
        <v>600</v>
      </c>
      <c r="I863" s="35">
        <v>695</v>
      </c>
      <c r="J863" s="35">
        <v>0</v>
      </c>
      <c r="K863" s="36"/>
      <c r="L863" s="36"/>
      <c r="M863" s="36"/>
      <c r="N863" s="36"/>
      <c r="O863" s="36"/>
      <c r="P863" s="36"/>
      <c r="Q863" s="36"/>
      <c r="R863" s="36"/>
      <c r="S863" s="36"/>
      <c r="T863" s="36"/>
    </row>
    <row r="864" spans="1:20" ht="15.75">
      <c r="A864" s="13">
        <v>67815</v>
      </c>
      <c r="B864" s="44">
        <f t="shared" si="4"/>
        <v>31</v>
      </c>
      <c r="C864" s="35">
        <v>194.20500000000001</v>
      </c>
      <c r="D864" s="35">
        <v>267.46600000000001</v>
      </c>
      <c r="E864" s="41">
        <v>812.32899999999995</v>
      </c>
      <c r="F864" s="35">
        <v>1274</v>
      </c>
      <c r="G864" s="35">
        <v>50</v>
      </c>
      <c r="H864" s="43">
        <v>600</v>
      </c>
      <c r="I864" s="35">
        <v>695</v>
      </c>
      <c r="J864" s="35">
        <v>0</v>
      </c>
      <c r="K864" s="36"/>
      <c r="L864" s="36"/>
      <c r="M864" s="36"/>
      <c r="N864" s="36"/>
      <c r="O864" s="36"/>
      <c r="P864" s="36"/>
      <c r="Q864" s="36"/>
      <c r="R864" s="36"/>
      <c r="S864" s="36"/>
      <c r="T864" s="36"/>
    </row>
    <row r="865" spans="1:20" ht="15.75">
      <c r="A865" s="13">
        <v>67845</v>
      </c>
      <c r="B865" s="44">
        <f t="shared" si="4"/>
        <v>30</v>
      </c>
      <c r="C865" s="35">
        <v>194.20500000000001</v>
      </c>
      <c r="D865" s="35">
        <v>267.46600000000001</v>
      </c>
      <c r="E865" s="41">
        <v>812.32899999999995</v>
      </c>
      <c r="F865" s="35">
        <v>1274</v>
      </c>
      <c r="G865" s="35">
        <v>50</v>
      </c>
      <c r="H865" s="43">
        <v>600</v>
      </c>
      <c r="I865" s="35">
        <v>695</v>
      </c>
      <c r="J865" s="35">
        <v>0</v>
      </c>
      <c r="K865" s="36"/>
      <c r="L865" s="36"/>
      <c r="M865" s="36"/>
      <c r="N865" s="36"/>
      <c r="O865" s="36"/>
      <c r="P865" s="36"/>
      <c r="Q865" s="36"/>
      <c r="R865" s="36"/>
      <c r="S865" s="36"/>
      <c r="T865" s="36"/>
    </row>
    <row r="866" spans="1:20" ht="15.75">
      <c r="A866" s="13">
        <v>67876</v>
      </c>
      <c r="B866" s="44">
        <f t="shared" si="4"/>
        <v>31</v>
      </c>
      <c r="C866" s="35">
        <v>131.881</v>
      </c>
      <c r="D866" s="35">
        <v>277.16699999999997</v>
      </c>
      <c r="E866" s="41">
        <v>829.952</v>
      </c>
      <c r="F866" s="35">
        <v>1239</v>
      </c>
      <c r="G866" s="35">
        <v>75</v>
      </c>
      <c r="H866" s="43">
        <v>600</v>
      </c>
      <c r="I866" s="35">
        <v>695</v>
      </c>
      <c r="J866" s="35">
        <v>0</v>
      </c>
      <c r="K866" s="36"/>
      <c r="L866" s="36"/>
      <c r="M866" s="36"/>
      <c r="N866" s="36"/>
      <c r="O866" s="36"/>
      <c r="P866" s="36"/>
      <c r="Q866" s="36"/>
      <c r="R866" s="36"/>
      <c r="S866" s="36"/>
      <c r="T866" s="36"/>
    </row>
    <row r="867" spans="1:20" ht="15.75">
      <c r="A867" s="13">
        <v>67906</v>
      </c>
      <c r="B867" s="44">
        <f t="shared" si="4"/>
        <v>30</v>
      </c>
      <c r="C867" s="35">
        <v>122.58</v>
      </c>
      <c r="D867" s="35">
        <v>297.94099999999997</v>
      </c>
      <c r="E867" s="41">
        <v>729.47900000000004</v>
      </c>
      <c r="F867" s="35">
        <v>1150</v>
      </c>
      <c r="G867" s="35">
        <v>100</v>
      </c>
      <c r="H867" s="43">
        <v>600</v>
      </c>
      <c r="I867" s="35">
        <v>695</v>
      </c>
      <c r="J867" s="35">
        <v>50</v>
      </c>
      <c r="K867" s="36"/>
      <c r="L867" s="36"/>
      <c r="M867" s="36"/>
      <c r="N867" s="36"/>
      <c r="O867" s="36"/>
      <c r="P867" s="36"/>
      <c r="Q867" s="36"/>
      <c r="R867" s="36"/>
      <c r="S867" s="36"/>
      <c r="T867" s="36"/>
    </row>
    <row r="868" spans="1:20" ht="15.75">
      <c r="A868" s="13">
        <v>67937</v>
      </c>
      <c r="B868" s="44">
        <f t="shared" si="4"/>
        <v>31</v>
      </c>
      <c r="C868" s="35">
        <v>122.58</v>
      </c>
      <c r="D868" s="35">
        <v>297.94099999999997</v>
      </c>
      <c r="E868" s="41">
        <v>729.47900000000004</v>
      </c>
      <c r="F868" s="35">
        <v>1150</v>
      </c>
      <c r="G868" s="35">
        <v>100</v>
      </c>
      <c r="H868" s="43">
        <v>600</v>
      </c>
      <c r="I868" s="35">
        <v>695</v>
      </c>
      <c r="J868" s="35">
        <v>50</v>
      </c>
      <c r="K868" s="36"/>
      <c r="L868" s="36"/>
      <c r="M868" s="36"/>
      <c r="N868" s="36"/>
      <c r="O868" s="36"/>
      <c r="P868" s="36"/>
      <c r="Q868" s="36"/>
      <c r="R868" s="36"/>
      <c r="S868" s="36"/>
      <c r="T868" s="36"/>
    </row>
    <row r="869" spans="1:20" ht="15.75">
      <c r="A869" s="13">
        <v>67968</v>
      </c>
      <c r="B869" s="44">
        <f t="shared" si="4"/>
        <v>31</v>
      </c>
      <c r="C869" s="35">
        <v>122.58</v>
      </c>
      <c r="D869" s="35">
        <v>297.94099999999997</v>
      </c>
      <c r="E869" s="41">
        <v>729.47900000000004</v>
      </c>
      <c r="F869" s="35">
        <v>1150</v>
      </c>
      <c r="G869" s="35">
        <v>100</v>
      </c>
      <c r="H869" s="43">
        <v>600</v>
      </c>
      <c r="I869" s="35">
        <v>695</v>
      </c>
      <c r="J869" s="35">
        <v>50</v>
      </c>
      <c r="K869" s="36"/>
      <c r="L869" s="36"/>
      <c r="M869" s="36"/>
      <c r="N869" s="36"/>
      <c r="O869" s="36"/>
      <c r="P869" s="36"/>
      <c r="Q869" s="36"/>
      <c r="R869" s="36"/>
      <c r="S869" s="36"/>
      <c r="T869" s="36"/>
    </row>
    <row r="870" spans="1:20" ht="15.75">
      <c r="A870" s="13">
        <v>67996</v>
      </c>
      <c r="B870" s="44">
        <f t="shared" si="4"/>
        <v>28</v>
      </c>
      <c r="C870" s="35">
        <v>122.58</v>
      </c>
      <c r="D870" s="35">
        <v>297.94099999999997</v>
      </c>
      <c r="E870" s="41">
        <v>729.47900000000004</v>
      </c>
      <c r="F870" s="35">
        <v>1150</v>
      </c>
      <c r="G870" s="35">
        <v>100</v>
      </c>
      <c r="H870" s="43">
        <v>600</v>
      </c>
      <c r="I870" s="35">
        <v>695</v>
      </c>
      <c r="J870" s="35">
        <v>50</v>
      </c>
      <c r="K870" s="36"/>
      <c r="L870" s="36"/>
      <c r="M870" s="36"/>
      <c r="N870" s="36"/>
      <c r="O870" s="36"/>
      <c r="P870" s="36"/>
      <c r="Q870" s="36"/>
      <c r="R870" s="36"/>
      <c r="S870" s="36"/>
      <c r="T870" s="36"/>
    </row>
    <row r="871" spans="1:20" ht="15.75">
      <c r="A871" s="13">
        <v>68027</v>
      </c>
      <c r="B871" s="44">
        <f t="shared" si="4"/>
        <v>31</v>
      </c>
      <c r="C871" s="35">
        <v>122.58</v>
      </c>
      <c r="D871" s="35">
        <v>297.94099999999997</v>
      </c>
      <c r="E871" s="41">
        <v>729.47900000000004</v>
      </c>
      <c r="F871" s="35">
        <v>1150</v>
      </c>
      <c r="G871" s="35">
        <v>100</v>
      </c>
      <c r="H871" s="43">
        <v>600</v>
      </c>
      <c r="I871" s="35">
        <v>695</v>
      </c>
      <c r="J871" s="35">
        <v>50</v>
      </c>
      <c r="K871" s="36"/>
      <c r="L871" s="36"/>
      <c r="M871" s="36"/>
      <c r="N871" s="36"/>
      <c r="O871" s="36"/>
      <c r="P871" s="36"/>
      <c r="Q871" s="36"/>
      <c r="R871" s="36"/>
      <c r="S871" s="36"/>
      <c r="T871" s="36"/>
    </row>
    <row r="872" spans="1:20" ht="15.75">
      <c r="A872" s="13">
        <v>68057</v>
      </c>
      <c r="B872" s="44">
        <f t="shared" si="4"/>
        <v>30</v>
      </c>
      <c r="C872" s="35">
        <v>141.29300000000001</v>
      </c>
      <c r="D872" s="35">
        <v>267.99299999999999</v>
      </c>
      <c r="E872" s="41">
        <v>829.71400000000006</v>
      </c>
      <c r="F872" s="35">
        <v>1239</v>
      </c>
      <c r="G872" s="35">
        <v>100</v>
      </c>
      <c r="H872" s="43">
        <v>600</v>
      </c>
      <c r="I872" s="35">
        <v>695</v>
      </c>
      <c r="J872" s="35">
        <v>50</v>
      </c>
      <c r="K872" s="36"/>
      <c r="L872" s="36"/>
      <c r="M872" s="36"/>
      <c r="N872" s="36"/>
      <c r="O872" s="36"/>
      <c r="P872" s="36"/>
      <c r="Q872" s="36"/>
      <c r="R872" s="36"/>
      <c r="S872" s="36"/>
      <c r="T872" s="36"/>
    </row>
    <row r="873" spans="1:20" ht="15.75">
      <c r="A873" s="13">
        <v>68088</v>
      </c>
      <c r="B873" s="44">
        <f t="shared" si="4"/>
        <v>31</v>
      </c>
      <c r="C873" s="35">
        <v>194.20500000000001</v>
      </c>
      <c r="D873" s="35">
        <v>267.46600000000001</v>
      </c>
      <c r="E873" s="41">
        <v>812.32899999999995</v>
      </c>
      <c r="F873" s="35">
        <v>1274</v>
      </c>
      <c r="G873" s="35">
        <v>75</v>
      </c>
      <c r="H873" s="43">
        <v>600</v>
      </c>
      <c r="I873" s="35">
        <v>695</v>
      </c>
      <c r="J873" s="35">
        <v>50</v>
      </c>
      <c r="K873" s="36"/>
      <c r="L873" s="36"/>
      <c r="M873" s="36"/>
      <c r="N873" s="36"/>
      <c r="O873" s="36"/>
      <c r="P873" s="36"/>
      <c r="Q873" s="36"/>
      <c r="R873" s="36"/>
      <c r="S873" s="36"/>
      <c r="T873" s="36"/>
    </row>
    <row r="874" spans="1:20" ht="15.75">
      <c r="A874" s="13">
        <v>68118</v>
      </c>
      <c r="B874" s="44">
        <f t="shared" si="4"/>
        <v>30</v>
      </c>
      <c r="C874" s="35">
        <v>194.20500000000001</v>
      </c>
      <c r="D874" s="35">
        <v>267.46600000000001</v>
      </c>
      <c r="E874" s="41">
        <v>812.32899999999995</v>
      </c>
      <c r="F874" s="35">
        <v>1274</v>
      </c>
      <c r="G874" s="35">
        <v>50</v>
      </c>
      <c r="H874" s="43">
        <v>600</v>
      </c>
      <c r="I874" s="35">
        <v>695</v>
      </c>
      <c r="J874" s="35">
        <v>50</v>
      </c>
      <c r="K874" s="36"/>
      <c r="L874" s="36"/>
      <c r="M874" s="36"/>
      <c r="N874" s="36"/>
      <c r="O874" s="36"/>
      <c r="P874" s="36"/>
      <c r="Q874" s="36"/>
      <c r="R874" s="36"/>
      <c r="S874" s="36"/>
      <c r="T874" s="36"/>
    </row>
    <row r="875" spans="1:20" ht="15.75">
      <c r="A875" s="13">
        <v>68149</v>
      </c>
      <c r="B875" s="44">
        <f t="shared" si="4"/>
        <v>31</v>
      </c>
      <c r="C875" s="35">
        <v>194.20500000000001</v>
      </c>
      <c r="D875" s="35">
        <v>267.46600000000001</v>
      </c>
      <c r="E875" s="41">
        <v>812.32899999999995</v>
      </c>
      <c r="F875" s="35">
        <v>1274</v>
      </c>
      <c r="G875" s="35">
        <v>50</v>
      </c>
      <c r="H875" s="43">
        <v>600</v>
      </c>
      <c r="I875" s="35">
        <v>695</v>
      </c>
      <c r="J875" s="35">
        <v>0</v>
      </c>
      <c r="K875" s="36"/>
      <c r="L875" s="36"/>
      <c r="M875" s="36"/>
      <c r="N875" s="36"/>
      <c r="O875" s="36"/>
      <c r="P875" s="36"/>
      <c r="Q875" s="36"/>
      <c r="R875" s="36"/>
      <c r="S875" s="36"/>
      <c r="T875" s="36"/>
    </row>
    <row r="876" spans="1:20" ht="15.75">
      <c r="A876" s="13">
        <v>68180</v>
      </c>
      <c r="B876" s="44">
        <f t="shared" si="4"/>
        <v>31</v>
      </c>
      <c r="C876" s="35">
        <v>194.20500000000001</v>
      </c>
      <c r="D876" s="35">
        <v>267.46600000000001</v>
      </c>
      <c r="E876" s="41">
        <v>812.32899999999995</v>
      </c>
      <c r="F876" s="35">
        <v>1274</v>
      </c>
      <c r="G876" s="35">
        <v>50</v>
      </c>
      <c r="H876" s="43">
        <v>600</v>
      </c>
      <c r="I876" s="35">
        <v>695</v>
      </c>
      <c r="J876" s="35">
        <v>0</v>
      </c>
      <c r="K876" s="36"/>
      <c r="L876" s="36"/>
      <c r="M876" s="36"/>
      <c r="N876" s="36"/>
      <c r="O876" s="36"/>
      <c r="P876" s="36"/>
      <c r="Q876" s="36"/>
      <c r="R876" s="36"/>
      <c r="S876" s="36"/>
      <c r="T876" s="36"/>
    </row>
    <row r="877" spans="1:20" ht="15.75">
      <c r="A877" s="13">
        <v>68210</v>
      </c>
      <c r="B877" s="44">
        <f t="shared" si="4"/>
        <v>30</v>
      </c>
      <c r="C877" s="35">
        <v>194.20500000000001</v>
      </c>
      <c r="D877" s="35">
        <v>267.46600000000001</v>
      </c>
      <c r="E877" s="41">
        <v>812.32899999999995</v>
      </c>
      <c r="F877" s="35">
        <v>1274</v>
      </c>
      <c r="G877" s="35">
        <v>50</v>
      </c>
      <c r="H877" s="43">
        <v>600</v>
      </c>
      <c r="I877" s="35">
        <v>695</v>
      </c>
      <c r="J877" s="35">
        <v>0</v>
      </c>
      <c r="K877" s="36"/>
      <c r="L877" s="36"/>
      <c r="M877" s="36"/>
      <c r="N877" s="36"/>
      <c r="O877" s="36"/>
      <c r="P877" s="36"/>
      <c r="Q877" s="36"/>
      <c r="R877" s="36"/>
      <c r="S877" s="36"/>
      <c r="T877" s="36"/>
    </row>
    <row r="878" spans="1:20" ht="15.75">
      <c r="A878" s="13">
        <v>68241</v>
      </c>
      <c r="B878" s="44">
        <f t="shared" si="4"/>
        <v>31</v>
      </c>
      <c r="C878" s="35">
        <v>131.881</v>
      </c>
      <c r="D878" s="35">
        <v>277.16699999999997</v>
      </c>
      <c r="E878" s="41">
        <v>829.952</v>
      </c>
      <c r="F878" s="35">
        <v>1239</v>
      </c>
      <c r="G878" s="35">
        <v>75</v>
      </c>
      <c r="H878" s="43">
        <v>600</v>
      </c>
      <c r="I878" s="35">
        <v>695</v>
      </c>
      <c r="J878" s="35">
        <v>0</v>
      </c>
      <c r="K878" s="36"/>
      <c r="L878" s="36"/>
      <c r="M878" s="36"/>
      <c r="N878" s="36"/>
      <c r="O878" s="36"/>
      <c r="P878" s="36"/>
      <c r="Q878" s="36"/>
      <c r="R878" s="36"/>
      <c r="S878" s="36"/>
      <c r="T878" s="36"/>
    </row>
    <row r="879" spans="1:20" ht="15.75">
      <c r="A879" s="13">
        <v>68271</v>
      </c>
      <c r="B879" s="44">
        <f t="shared" si="4"/>
        <v>30</v>
      </c>
      <c r="C879" s="35">
        <v>122.58</v>
      </c>
      <c r="D879" s="35">
        <v>297.94099999999997</v>
      </c>
      <c r="E879" s="41">
        <v>729.47900000000004</v>
      </c>
      <c r="F879" s="35">
        <v>1150</v>
      </c>
      <c r="G879" s="35">
        <v>100</v>
      </c>
      <c r="H879" s="43">
        <v>600</v>
      </c>
      <c r="I879" s="35">
        <v>695</v>
      </c>
      <c r="J879" s="35">
        <v>50</v>
      </c>
      <c r="K879" s="36"/>
      <c r="L879" s="36"/>
      <c r="M879" s="36"/>
      <c r="N879" s="36"/>
      <c r="O879" s="36"/>
      <c r="P879" s="36"/>
      <c r="Q879" s="36"/>
      <c r="R879" s="36"/>
      <c r="S879" s="36"/>
      <c r="T879" s="36"/>
    </row>
    <row r="880" spans="1:20" ht="15.75">
      <c r="A880" s="13">
        <v>68302</v>
      </c>
      <c r="B880" s="44">
        <f t="shared" si="4"/>
        <v>31</v>
      </c>
      <c r="C880" s="35">
        <v>122.58</v>
      </c>
      <c r="D880" s="35">
        <v>297.94099999999997</v>
      </c>
      <c r="E880" s="41">
        <v>729.47900000000004</v>
      </c>
      <c r="F880" s="35">
        <v>1150</v>
      </c>
      <c r="G880" s="35">
        <v>100</v>
      </c>
      <c r="H880" s="43">
        <v>600</v>
      </c>
      <c r="I880" s="35">
        <v>695</v>
      </c>
      <c r="J880" s="35">
        <v>50</v>
      </c>
      <c r="K880" s="36"/>
      <c r="L880" s="36"/>
      <c r="M880" s="36"/>
      <c r="N880" s="36"/>
      <c r="O880" s="36"/>
      <c r="P880" s="36"/>
      <c r="Q880" s="36"/>
      <c r="R880" s="36"/>
      <c r="S880" s="36"/>
      <c r="T880" s="36"/>
    </row>
    <row r="881" spans="1:20" ht="15.75">
      <c r="A881" s="13">
        <v>68333</v>
      </c>
      <c r="B881" s="44">
        <f t="shared" si="4"/>
        <v>31</v>
      </c>
      <c r="C881" s="35">
        <v>122.58</v>
      </c>
      <c r="D881" s="35">
        <v>297.94099999999997</v>
      </c>
      <c r="E881" s="41">
        <v>729.47900000000004</v>
      </c>
      <c r="F881" s="35">
        <v>1150</v>
      </c>
      <c r="G881" s="35">
        <v>100</v>
      </c>
      <c r="H881" s="43">
        <v>600</v>
      </c>
      <c r="I881" s="35">
        <v>695</v>
      </c>
      <c r="J881" s="35">
        <v>50</v>
      </c>
      <c r="K881" s="36"/>
      <c r="L881" s="36"/>
      <c r="M881" s="36"/>
      <c r="N881" s="36"/>
      <c r="O881" s="36"/>
      <c r="P881" s="36"/>
      <c r="Q881" s="36"/>
      <c r="R881" s="36"/>
      <c r="S881" s="36"/>
      <c r="T881" s="36"/>
    </row>
    <row r="882" spans="1:20" ht="15.75">
      <c r="A882" s="13">
        <v>68361</v>
      </c>
      <c r="B882" s="44">
        <f t="shared" si="4"/>
        <v>28</v>
      </c>
      <c r="C882" s="35">
        <v>122.58</v>
      </c>
      <c r="D882" s="35">
        <v>297.94099999999997</v>
      </c>
      <c r="E882" s="41">
        <v>729.47900000000004</v>
      </c>
      <c r="F882" s="35">
        <v>1150</v>
      </c>
      <c r="G882" s="35">
        <v>100</v>
      </c>
      <c r="H882" s="43">
        <v>600</v>
      </c>
      <c r="I882" s="35">
        <v>695</v>
      </c>
      <c r="J882" s="35">
        <v>50</v>
      </c>
      <c r="K882" s="36"/>
      <c r="L882" s="36"/>
      <c r="M882" s="36"/>
      <c r="N882" s="36"/>
      <c r="O882" s="36"/>
      <c r="P882" s="36"/>
      <c r="Q882" s="36"/>
      <c r="R882" s="36"/>
      <c r="S882" s="36"/>
      <c r="T882" s="36"/>
    </row>
    <row r="883" spans="1:20" ht="15.75">
      <c r="A883" s="13">
        <v>68392</v>
      </c>
      <c r="B883" s="44">
        <f t="shared" si="4"/>
        <v>31</v>
      </c>
      <c r="C883" s="35">
        <v>122.58</v>
      </c>
      <c r="D883" s="35">
        <v>297.94099999999997</v>
      </c>
      <c r="E883" s="41">
        <v>729.47900000000004</v>
      </c>
      <c r="F883" s="35">
        <v>1150</v>
      </c>
      <c r="G883" s="35">
        <v>100</v>
      </c>
      <c r="H883" s="43">
        <v>600</v>
      </c>
      <c r="I883" s="35">
        <v>695</v>
      </c>
      <c r="J883" s="35">
        <v>50</v>
      </c>
      <c r="K883" s="36"/>
      <c r="L883" s="36"/>
      <c r="M883" s="36"/>
      <c r="N883" s="36"/>
      <c r="O883" s="36"/>
      <c r="P883" s="36"/>
      <c r="Q883" s="36"/>
      <c r="R883" s="36"/>
      <c r="S883" s="36"/>
      <c r="T883" s="36"/>
    </row>
    <row r="884" spans="1:20" ht="15.75">
      <c r="A884" s="13">
        <v>68422</v>
      </c>
      <c r="B884" s="44">
        <f t="shared" si="4"/>
        <v>30</v>
      </c>
      <c r="C884" s="35">
        <v>141.29300000000001</v>
      </c>
      <c r="D884" s="35">
        <v>267.99299999999999</v>
      </c>
      <c r="E884" s="41">
        <v>829.71400000000006</v>
      </c>
      <c r="F884" s="35">
        <v>1239</v>
      </c>
      <c r="G884" s="35">
        <v>100</v>
      </c>
      <c r="H884" s="43">
        <v>600</v>
      </c>
      <c r="I884" s="35">
        <v>695</v>
      </c>
      <c r="J884" s="35">
        <v>50</v>
      </c>
      <c r="K884" s="36"/>
      <c r="L884" s="36"/>
      <c r="M884" s="36"/>
      <c r="N884" s="36"/>
      <c r="O884" s="36"/>
      <c r="P884" s="36"/>
      <c r="Q884" s="36"/>
      <c r="R884" s="36"/>
      <c r="S884" s="36"/>
      <c r="T884" s="36"/>
    </row>
    <row r="885" spans="1:20" ht="15.75">
      <c r="A885" s="13">
        <v>68453</v>
      </c>
      <c r="B885" s="44">
        <f t="shared" si="4"/>
        <v>31</v>
      </c>
      <c r="C885" s="35">
        <v>194.20500000000001</v>
      </c>
      <c r="D885" s="35">
        <v>267.46600000000001</v>
      </c>
      <c r="E885" s="41">
        <v>812.32899999999995</v>
      </c>
      <c r="F885" s="35">
        <v>1274</v>
      </c>
      <c r="G885" s="35">
        <v>75</v>
      </c>
      <c r="H885" s="43">
        <v>600</v>
      </c>
      <c r="I885" s="35">
        <v>695</v>
      </c>
      <c r="J885" s="35">
        <v>50</v>
      </c>
      <c r="K885" s="36"/>
      <c r="L885" s="36"/>
      <c r="M885" s="36"/>
      <c r="N885" s="36"/>
      <c r="O885" s="36"/>
      <c r="P885" s="36"/>
      <c r="Q885" s="36"/>
      <c r="R885" s="36"/>
      <c r="S885" s="36"/>
      <c r="T885" s="36"/>
    </row>
    <row r="886" spans="1:20" ht="15.75">
      <c r="A886" s="13">
        <v>68483</v>
      </c>
      <c r="B886" s="44">
        <f t="shared" si="4"/>
        <v>30</v>
      </c>
      <c r="C886" s="35">
        <v>194.20500000000001</v>
      </c>
      <c r="D886" s="35">
        <v>267.46600000000001</v>
      </c>
      <c r="E886" s="41">
        <v>812.32899999999995</v>
      </c>
      <c r="F886" s="35">
        <v>1274</v>
      </c>
      <c r="G886" s="35">
        <v>50</v>
      </c>
      <c r="H886" s="43">
        <v>600</v>
      </c>
      <c r="I886" s="35">
        <v>695</v>
      </c>
      <c r="J886" s="35">
        <v>50</v>
      </c>
      <c r="K886" s="36"/>
      <c r="L886" s="36"/>
      <c r="M886" s="36"/>
      <c r="N886" s="36"/>
      <c r="O886" s="36"/>
      <c r="P886" s="36"/>
      <c r="Q886" s="36"/>
      <c r="R886" s="36"/>
      <c r="S886" s="36"/>
      <c r="T886" s="36"/>
    </row>
    <row r="887" spans="1:20" ht="15.75">
      <c r="A887" s="13">
        <v>68514</v>
      </c>
      <c r="B887" s="44">
        <f t="shared" si="4"/>
        <v>31</v>
      </c>
      <c r="C887" s="35">
        <v>194.20500000000001</v>
      </c>
      <c r="D887" s="35">
        <v>267.46600000000001</v>
      </c>
      <c r="E887" s="41">
        <v>812.32899999999995</v>
      </c>
      <c r="F887" s="35">
        <v>1274</v>
      </c>
      <c r="G887" s="35">
        <v>50</v>
      </c>
      <c r="H887" s="43">
        <v>600</v>
      </c>
      <c r="I887" s="35">
        <v>695</v>
      </c>
      <c r="J887" s="35">
        <v>0</v>
      </c>
      <c r="K887" s="36"/>
      <c r="L887" s="36"/>
      <c r="M887" s="36"/>
      <c r="N887" s="36"/>
      <c r="O887" s="36"/>
      <c r="P887" s="36"/>
      <c r="Q887" s="36"/>
      <c r="R887" s="36"/>
      <c r="S887" s="36"/>
      <c r="T887" s="36"/>
    </row>
    <row r="888" spans="1:20" ht="15.75">
      <c r="A888" s="13">
        <v>68545</v>
      </c>
      <c r="B888" s="44">
        <f t="shared" si="4"/>
        <v>31</v>
      </c>
      <c r="C888" s="35">
        <v>194.20500000000001</v>
      </c>
      <c r="D888" s="35">
        <v>267.46600000000001</v>
      </c>
      <c r="E888" s="41">
        <v>812.32899999999995</v>
      </c>
      <c r="F888" s="35">
        <v>1274</v>
      </c>
      <c r="G888" s="35">
        <v>50</v>
      </c>
      <c r="H888" s="43">
        <v>600</v>
      </c>
      <c r="I888" s="35">
        <v>695</v>
      </c>
      <c r="J888" s="35">
        <v>0</v>
      </c>
      <c r="K888" s="36"/>
      <c r="L888" s="36"/>
      <c r="M888" s="36"/>
      <c r="N888" s="36"/>
      <c r="O888" s="36"/>
      <c r="P888" s="36"/>
      <c r="Q888" s="36"/>
      <c r="R888" s="36"/>
      <c r="S888" s="36"/>
      <c r="T888" s="36"/>
    </row>
    <row r="889" spans="1:20" ht="15.75">
      <c r="A889" s="13">
        <v>68575</v>
      </c>
      <c r="B889" s="44">
        <f t="shared" si="4"/>
        <v>30</v>
      </c>
      <c r="C889" s="35">
        <v>194.20500000000001</v>
      </c>
      <c r="D889" s="35">
        <v>267.46600000000001</v>
      </c>
      <c r="E889" s="41">
        <v>812.32899999999995</v>
      </c>
      <c r="F889" s="35">
        <v>1274</v>
      </c>
      <c r="G889" s="35">
        <v>50</v>
      </c>
      <c r="H889" s="43">
        <v>600</v>
      </c>
      <c r="I889" s="35">
        <v>695</v>
      </c>
      <c r="J889" s="35">
        <v>0</v>
      </c>
      <c r="K889" s="36"/>
      <c r="L889" s="36"/>
      <c r="M889" s="36"/>
      <c r="N889" s="36"/>
      <c r="O889" s="36"/>
      <c r="P889" s="36"/>
      <c r="Q889" s="36"/>
      <c r="R889" s="36"/>
      <c r="S889" s="36"/>
      <c r="T889" s="36"/>
    </row>
    <row r="890" spans="1:20" ht="15.75">
      <c r="A890" s="13">
        <v>68606</v>
      </c>
      <c r="B890" s="44">
        <f t="shared" si="4"/>
        <v>31</v>
      </c>
      <c r="C890" s="35">
        <v>131.881</v>
      </c>
      <c r="D890" s="35">
        <v>277.16699999999997</v>
      </c>
      <c r="E890" s="41">
        <v>829.952</v>
      </c>
      <c r="F890" s="35">
        <v>1239</v>
      </c>
      <c r="G890" s="35">
        <v>75</v>
      </c>
      <c r="H890" s="43">
        <v>600</v>
      </c>
      <c r="I890" s="35">
        <v>695</v>
      </c>
      <c r="J890" s="35">
        <v>0</v>
      </c>
      <c r="K890" s="36"/>
      <c r="L890" s="36"/>
      <c r="M890" s="36"/>
      <c r="N890" s="36"/>
      <c r="O890" s="36"/>
      <c r="P890" s="36"/>
      <c r="Q890" s="36"/>
      <c r="R890" s="36"/>
      <c r="S890" s="36"/>
      <c r="T890" s="36"/>
    </row>
    <row r="891" spans="1:20" ht="15.75">
      <c r="A891" s="13">
        <v>68636</v>
      </c>
      <c r="B891" s="44">
        <f t="shared" si="4"/>
        <v>30</v>
      </c>
      <c r="C891" s="35">
        <v>122.58</v>
      </c>
      <c r="D891" s="35">
        <v>297.94099999999997</v>
      </c>
      <c r="E891" s="41">
        <v>729.47900000000004</v>
      </c>
      <c r="F891" s="35">
        <v>1150</v>
      </c>
      <c r="G891" s="35">
        <v>100</v>
      </c>
      <c r="H891" s="43">
        <v>600</v>
      </c>
      <c r="I891" s="35">
        <v>695</v>
      </c>
      <c r="J891" s="35">
        <v>50</v>
      </c>
      <c r="K891" s="36"/>
      <c r="L891" s="36"/>
      <c r="M891" s="36"/>
      <c r="N891" s="36"/>
      <c r="O891" s="36"/>
      <c r="P891" s="36"/>
      <c r="Q891" s="36"/>
      <c r="R891" s="36"/>
      <c r="S891" s="36"/>
      <c r="T891" s="36"/>
    </row>
    <row r="892" spans="1:20" ht="15.75">
      <c r="A892" s="13">
        <v>68667</v>
      </c>
      <c r="B892" s="44">
        <f t="shared" si="4"/>
        <v>31</v>
      </c>
      <c r="C892" s="35">
        <v>122.58</v>
      </c>
      <c r="D892" s="35">
        <v>297.94099999999997</v>
      </c>
      <c r="E892" s="41">
        <v>729.47900000000004</v>
      </c>
      <c r="F892" s="35">
        <v>1150</v>
      </c>
      <c r="G892" s="35">
        <v>100</v>
      </c>
      <c r="H892" s="43">
        <v>600</v>
      </c>
      <c r="I892" s="35">
        <v>695</v>
      </c>
      <c r="J892" s="35">
        <v>50</v>
      </c>
      <c r="K892" s="36"/>
      <c r="L892" s="36"/>
      <c r="M892" s="36"/>
      <c r="N892" s="36"/>
      <c r="O892" s="36"/>
      <c r="P892" s="36"/>
      <c r="Q892" s="36"/>
      <c r="R892" s="36"/>
      <c r="S892" s="36"/>
      <c r="T892" s="36"/>
    </row>
    <row r="893" spans="1:20" ht="15.75">
      <c r="A893" s="13">
        <v>68698</v>
      </c>
      <c r="B893" s="44">
        <f t="shared" si="4"/>
        <v>31</v>
      </c>
      <c r="C893" s="35">
        <v>122.58</v>
      </c>
      <c r="D893" s="35">
        <v>297.94099999999997</v>
      </c>
      <c r="E893" s="41">
        <v>729.47900000000004</v>
      </c>
      <c r="F893" s="35">
        <v>1150</v>
      </c>
      <c r="G893" s="35">
        <v>100</v>
      </c>
      <c r="H893" s="43">
        <v>600</v>
      </c>
      <c r="I893" s="35">
        <v>695</v>
      </c>
      <c r="J893" s="35">
        <v>50</v>
      </c>
      <c r="K893" s="36"/>
      <c r="L893" s="36"/>
      <c r="M893" s="36"/>
      <c r="N893" s="36"/>
      <c r="O893" s="36"/>
      <c r="P893" s="36"/>
      <c r="Q893" s="36"/>
      <c r="R893" s="36"/>
      <c r="S893" s="36"/>
      <c r="T893" s="36"/>
    </row>
    <row r="894" spans="1:20" ht="15.75">
      <c r="A894" s="13">
        <v>68727</v>
      </c>
      <c r="B894" s="44">
        <f t="shared" si="4"/>
        <v>29</v>
      </c>
      <c r="C894" s="35">
        <v>122.58</v>
      </c>
      <c r="D894" s="35">
        <v>297.94099999999997</v>
      </c>
      <c r="E894" s="41">
        <v>729.47900000000004</v>
      </c>
      <c r="F894" s="35">
        <v>1150</v>
      </c>
      <c r="G894" s="35">
        <v>100</v>
      </c>
      <c r="H894" s="43">
        <v>600</v>
      </c>
      <c r="I894" s="35">
        <v>695</v>
      </c>
      <c r="J894" s="35">
        <v>50</v>
      </c>
      <c r="K894" s="36"/>
      <c r="L894" s="36"/>
      <c r="M894" s="36"/>
      <c r="N894" s="36"/>
      <c r="O894" s="36"/>
      <c r="P894" s="36"/>
      <c r="Q894" s="36"/>
      <c r="R894" s="36"/>
      <c r="S894" s="36"/>
      <c r="T894" s="36"/>
    </row>
    <row r="895" spans="1:20" ht="15.75">
      <c r="A895" s="13">
        <v>68758</v>
      </c>
      <c r="B895" s="44">
        <f t="shared" si="4"/>
        <v>31</v>
      </c>
      <c r="C895" s="35">
        <v>122.58</v>
      </c>
      <c r="D895" s="35">
        <v>297.94099999999997</v>
      </c>
      <c r="E895" s="41">
        <v>729.47900000000004</v>
      </c>
      <c r="F895" s="35">
        <v>1150</v>
      </c>
      <c r="G895" s="35">
        <v>100</v>
      </c>
      <c r="H895" s="43">
        <v>600</v>
      </c>
      <c r="I895" s="35">
        <v>695</v>
      </c>
      <c r="J895" s="35">
        <v>50</v>
      </c>
      <c r="K895" s="36"/>
      <c r="L895" s="36"/>
      <c r="M895" s="36"/>
      <c r="N895" s="36"/>
      <c r="O895" s="36"/>
      <c r="P895" s="36"/>
      <c r="Q895" s="36"/>
      <c r="R895" s="36"/>
      <c r="S895" s="36"/>
      <c r="T895" s="36"/>
    </row>
    <row r="896" spans="1:20" ht="15.75">
      <c r="A896" s="13">
        <v>68788</v>
      </c>
      <c r="B896" s="44">
        <f t="shared" si="4"/>
        <v>30</v>
      </c>
      <c r="C896" s="35">
        <v>141.29300000000001</v>
      </c>
      <c r="D896" s="35">
        <v>267.99299999999999</v>
      </c>
      <c r="E896" s="41">
        <v>829.71400000000006</v>
      </c>
      <c r="F896" s="35">
        <v>1239</v>
      </c>
      <c r="G896" s="35">
        <v>100</v>
      </c>
      <c r="H896" s="43">
        <v>600</v>
      </c>
      <c r="I896" s="35">
        <v>695</v>
      </c>
      <c r="J896" s="35">
        <v>50</v>
      </c>
      <c r="K896" s="36"/>
      <c r="L896" s="36"/>
      <c r="M896" s="36"/>
      <c r="N896" s="36"/>
      <c r="O896" s="36"/>
      <c r="P896" s="36"/>
      <c r="Q896" s="36"/>
      <c r="R896" s="36"/>
      <c r="S896" s="36"/>
      <c r="T896" s="36"/>
    </row>
    <row r="897" spans="1:20" ht="15.75">
      <c r="A897" s="13">
        <v>68819</v>
      </c>
      <c r="B897" s="44">
        <f t="shared" si="4"/>
        <v>31</v>
      </c>
      <c r="C897" s="35">
        <v>194.20500000000001</v>
      </c>
      <c r="D897" s="35">
        <v>267.46600000000001</v>
      </c>
      <c r="E897" s="41">
        <v>812.32899999999995</v>
      </c>
      <c r="F897" s="35">
        <v>1274</v>
      </c>
      <c r="G897" s="35">
        <v>75</v>
      </c>
      <c r="H897" s="43">
        <v>600</v>
      </c>
      <c r="I897" s="35">
        <v>695</v>
      </c>
      <c r="J897" s="35">
        <v>50</v>
      </c>
      <c r="K897" s="36"/>
      <c r="L897" s="36"/>
      <c r="M897" s="36"/>
      <c r="N897" s="36"/>
      <c r="O897" s="36"/>
      <c r="P897" s="36"/>
      <c r="Q897" s="36"/>
      <c r="R897" s="36"/>
      <c r="S897" s="36"/>
      <c r="T897" s="36"/>
    </row>
    <row r="898" spans="1:20" ht="15.75">
      <c r="A898" s="13">
        <v>68849</v>
      </c>
      <c r="B898" s="44">
        <f t="shared" si="4"/>
        <v>30</v>
      </c>
      <c r="C898" s="35">
        <v>194.20500000000001</v>
      </c>
      <c r="D898" s="35">
        <v>267.46600000000001</v>
      </c>
      <c r="E898" s="41">
        <v>812.32899999999995</v>
      </c>
      <c r="F898" s="35">
        <v>1274</v>
      </c>
      <c r="G898" s="35">
        <v>50</v>
      </c>
      <c r="H898" s="43">
        <v>600</v>
      </c>
      <c r="I898" s="35">
        <v>695</v>
      </c>
      <c r="J898" s="35">
        <v>50</v>
      </c>
      <c r="K898" s="36"/>
      <c r="L898" s="36"/>
      <c r="M898" s="36"/>
      <c r="N898" s="36"/>
      <c r="O898" s="36"/>
      <c r="P898" s="36"/>
      <c r="Q898" s="36"/>
      <c r="R898" s="36"/>
      <c r="S898" s="36"/>
      <c r="T898" s="36"/>
    </row>
    <row r="899" spans="1:20" ht="15.75">
      <c r="A899" s="13">
        <v>68880</v>
      </c>
      <c r="B899" s="44">
        <f t="shared" si="4"/>
        <v>31</v>
      </c>
      <c r="C899" s="35">
        <v>194.20500000000001</v>
      </c>
      <c r="D899" s="35">
        <v>267.46600000000001</v>
      </c>
      <c r="E899" s="41">
        <v>812.32899999999995</v>
      </c>
      <c r="F899" s="35">
        <v>1274</v>
      </c>
      <c r="G899" s="35">
        <v>50</v>
      </c>
      <c r="H899" s="43">
        <v>600</v>
      </c>
      <c r="I899" s="35">
        <v>695</v>
      </c>
      <c r="J899" s="35">
        <v>0</v>
      </c>
      <c r="K899" s="36"/>
      <c r="L899" s="36"/>
      <c r="M899" s="36"/>
      <c r="N899" s="36"/>
      <c r="O899" s="36"/>
      <c r="P899" s="36"/>
      <c r="Q899" s="36"/>
      <c r="R899" s="36"/>
      <c r="S899" s="36"/>
      <c r="T899" s="36"/>
    </row>
    <row r="900" spans="1:20" ht="15.75">
      <c r="A900" s="13">
        <v>68911</v>
      </c>
      <c r="B900" s="44">
        <f t="shared" si="4"/>
        <v>31</v>
      </c>
      <c r="C900" s="35">
        <v>194.20500000000001</v>
      </c>
      <c r="D900" s="35">
        <v>267.46600000000001</v>
      </c>
      <c r="E900" s="41">
        <v>812.32899999999995</v>
      </c>
      <c r="F900" s="35">
        <v>1274</v>
      </c>
      <c r="G900" s="35">
        <v>50</v>
      </c>
      <c r="H900" s="43">
        <v>600</v>
      </c>
      <c r="I900" s="35">
        <v>695</v>
      </c>
      <c r="J900" s="35">
        <v>0</v>
      </c>
      <c r="K900" s="36"/>
      <c r="L900" s="36"/>
      <c r="M900" s="36"/>
      <c r="N900" s="36"/>
      <c r="O900" s="36"/>
      <c r="P900" s="36"/>
      <c r="Q900" s="36"/>
      <c r="R900" s="36"/>
      <c r="S900" s="36"/>
      <c r="T900" s="36"/>
    </row>
    <row r="901" spans="1:20" ht="15.75">
      <c r="A901" s="13">
        <v>68941</v>
      </c>
      <c r="B901" s="44">
        <f t="shared" ref="B901:B964" si="5">EOMONTH(A901,0)-EOMONTH(A901,-1)</f>
        <v>30</v>
      </c>
      <c r="C901" s="35">
        <v>194.20500000000001</v>
      </c>
      <c r="D901" s="35">
        <v>267.46600000000001</v>
      </c>
      <c r="E901" s="41">
        <v>812.32899999999995</v>
      </c>
      <c r="F901" s="35">
        <v>1274</v>
      </c>
      <c r="G901" s="35">
        <v>50</v>
      </c>
      <c r="H901" s="43">
        <v>600</v>
      </c>
      <c r="I901" s="35">
        <v>695</v>
      </c>
      <c r="J901" s="35">
        <v>0</v>
      </c>
      <c r="K901" s="36"/>
      <c r="L901" s="36"/>
      <c r="M901" s="36"/>
      <c r="N901" s="36"/>
      <c r="O901" s="36"/>
      <c r="P901" s="36"/>
      <c r="Q901" s="36"/>
      <c r="R901" s="36"/>
      <c r="S901" s="36"/>
      <c r="T901" s="36"/>
    </row>
    <row r="902" spans="1:20" ht="15.75">
      <c r="A902" s="13">
        <v>68972</v>
      </c>
      <c r="B902" s="44">
        <f t="shared" si="5"/>
        <v>31</v>
      </c>
      <c r="C902" s="35">
        <v>131.881</v>
      </c>
      <c r="D902" s="35">
        <v>277.16699999999997</v>
      </c>
      <c r="E902" s="41">
        <v>829.952</v>
      </c>
      <c r="F902" s="35">
        <v>1239</v>
      </c>
      <c r="G902" s="35">
        <v>75</v>
      </c>
      <c r="H902" s="43">
        <v>600</v>
      </c>
      <c r="I902" s="35">
        <v>695</v>
      </c>
      <c r="J902" s="35">
        <v>0</v>
      </c>
      <c r="K902" s="36"/>
      <c r="L902" s="36"/>
      <c r="M902" s="36"/>
      <c r="N902" s="36"/>
      <c r="O902" s="36"/>
      <c r="P902" s="36"/>
      <c r="Q902" s="36"/>
      <c r="R902" s="36"/>
      <c r="S902" s="36"/>
      <c r="T902" s="36"/>
    </row>
    <row r="903" spans="1:20" ht="15.75">
      <c r="A903" s="13">
        <v>69002</v>
      </c>
      <c r="B903" s="44">
        <f t="shared" si="5"/>
        <v>30</v>
      </c>
      <c r="C903" s="35">
        <v>122.58</v>
      </c>
      <c r="D903" s="35">
        <v>297.94099999999997</v>
      </c>
      <c r="E903" s="41">
        <v>729.47900000000004</v>
      </c>
      <c r="F903" s="35">
        <v>1150</v>
      </c>
      <c r="G903" s="35">
        <v>100</v>
      </c>
      <c r="H903" s="43">
        <v>600</v>
      </c>
      <c r="I903" s="35">
        <v>695</v>
      </c>
      <c r="J903" s="35">
        <v>50</v>
      </c>
      <c r="K903" s="36"/>
      <c r="L903" s="36"/>
      <c r="M903" s="36"/>
      <c r="N903" s="36"/>
      <c r="O903" s="36"/>
      <c r="P903" s="36"/>
      <c r="Q903" s="36"/>
      <c r="R903" s="36"/>
      <c r="S903" s="36"/>
      <c r="T903" s="36"/>
    </row>
    <row r="904" spans="1:20" ht="15.75">
      <c r="A904" s="13">
        <v>69033</v>
      </c>
      <c r="B904" s="44">
        <f t="shared" si="5"/>
        <v>31</v>
      </c>
      <c r="C904" s="35">
        <v>122.58</v>
      </c>
      <c r="D904" s="35">
        <v>297.94099999999997</v>
      </c>
      <c r="E904" s="41">
        <v>729.47900000000004</v>
      </c>
      <c r="F904" s="35">
        <v>1150</v>
      </c>
      <c r="G904" s="35">
        <v>100</v>
      </c>
      <c r="H904" s="43">
        <v>600</v>
      </c>
      <c r="I904" s="35">
        <v>695</v>
      </c>
      <c r="J904" s="35">
        <v>50</v>
      </c>
      <c r="K904" s="36"/>
      <c r="L904" s="36"/>
      <c r="M904" s="36"/>
      <c r="N904" s="36"/>
      <c r="O904" s="36"/>
      <c r="P904" s="36"/>
      <c r="Q904" s="36"/>
      <c r="R904" s="36"/>
      <c r="S904" s="36"/>
      <c r="T904" s="36"/>
    </row>
    <row r="905" spans="1:20" ht="15.75">
      <c r="A905" s="13">
        <v>69064</v>
      </c>
      <c r="B905" s="44">
        <f t="shared" si="5"/>
        <v>31</v>
      </c>
      <c r="C905" s="35">
        <v>122.58</v>
      </c>
      <c r="D905" s="35">
        <v>297.94099999999997</v>
      </c>
      <c r="E905" s="41">
        <v>729.47900000000004</v>
      </c>
      <c r="F905" s="35">
        <v>1150</v>
      </c>
      <c r="G905" s="35">
        <v>100</v>
      </c>
      <c r="H905" s="43">
        <v>600</v>
      </c>
      <c r="I905" s="35">
        <v>695</v>
      </c>
      <c r="J905" s="35">
        <v>50</v>
      </c>
      <c r="K905" s="36"/>
      <c r="L905" s="36"/>
      <c r="M905" s="36"/>
      <c r="N905" s="36"/>
      <c r="O905" s="36"/>
      <c r="P905" s="36"/>
      <c r="Q905" s="36"/>
      <c r="R905" s="36"/>
      <c r="S905" s="36"/>
      <c r="T905" s="36"/>
    </row>
    <row r="906" spans="1:20" ht="15.75">
      <c r="A906" s="13">
        <v>69092</v>
      </c>
      <c r="B906" s="44">
        <f t="shared" si="5"/>
        <v>28</v>
      </c>
      <c r="C906" s="35">
        <v>122.58</v>
      </c>
      <c r="D906" s="35">
        <v>297.94099999999997</v>
      </c>
      <c r="E906" s="41">
        <v>729.47900000000004</v>
      </c>
      <c r="F906" s="35">
        <v>1150</v>
      </c>
      <c r="G906" s="35">
        <v>100</v>
      </c>
      <c r="H906" s="43">
        <v>600</v>
      </c>
      <c r="I906" s="35">
        <v>695</v>
      </c>
      <c r="J906" s="35">
        <v>50</v>
      </c>
      <c r="K906" s="36"/>
      <c r="L906" s="36"/>
      <c r="M906" s="36"/>
      <c r="N906" s="36"/>
      <c r="O906" s="36"/>
      <c r="P906" s="36"/>
      <c r="Q906" s="36"/>
      <c r="R906" s="36"/>
      <c r="S906" s="36"/>
      <c r="T906" s="36"/>
    </row>
    <row r="907" spans="1:20" ht="15.75">
      <c r="A907" s="13">
        <v>69123</v>
      </c>
      <c r="B907" s="44">
        <f t="shared" si="5"/>
        <v>31</v>
      </c>
      <c r="C907" s="35">
        <v>122.58</v>
      </c>
      <c r="D907" s="35">
        <v>297.94099999999997</v>
      </c>
      <c r="E907" s="41">
        <v>729.47900000000004</v>
      </c>
      <c r="F907" s="35">
        <v>1150</v>
      </c>
      <c r="G907" s="35">
        <v>100</v>
      </c>
      <c r="H907" s="43">
        <v>600</v>
      </c>
      <c r="I907" s="35">
        <v>695</v>
      </c>
      <c r="J907" s="35">
        <v>50</v>
      </c>
      <c r="K907" s="36"/>
      <c r="L907" s="36"/>
      <c r="M907" s="36"/>
      <c r="N907" s="36"/>
      <c r="O907" s="36"/>
      <c r="P907" s="36"/>
      <c r="Q907" s="36"/>
      <c r="R907" s="36"/>
      <c r="S907" s="36"/>
      <c r="T907" s="36"/>
    </row>
    <row r="908" spans="1:20" ht="15.75">
      <c r="A908" s="13">
        <v>69153</v>
      </c>
      <c r="B908" s="44">
        <f t="shared" si="5"/>
        <v>30</v>
      </c>
      <c r="C908" s="35">
        <v>141.29300000000001</v>
      </c>
      <c r="D908" s="35">
        <v>267.99299999999999</v>
      </c>
      <c r="E908" s="41">
        <v>829.71400000000006</v>
      </c>
      <c r="F908" s="35">
        <v>1239</v>
      </c>
      <c r="G908" s="35">
        <v>100</v>
      </c>
      <c r="H908" s="43">
        <v>600</v>
      </c>
      <c r="I908" s="35">
        <v>695</v>
      </c>
      <c r="J908" s="35">
        <v>50</v>
      </c>
      <c r="K908" s="36"/>
      <c r="L908" s="36"/>
      <c r="M908" s="36"/>
      <c r="N908" s="36"/>
      <c r="O908" s="36"/>
      <c r="P908" s="36"/>
      <c r="Q908" s="36"/>
      <c r="R908" s="36"/>
      <c r="S908" s="36"/>
      <c r="T908" s="36"/>
    </row>
    <row r="909" spans="1:20" ht="15.75">
      <c r="A909" s="13">
        <v>69184</v>
      </c>
      <c r="B909" s="44">
        <f t="shared" si="5"/>
        <v>31</v>
      </c>
      <c r="C909" s="35">
        <v>194.20500000000001</v>
      </c>
      <c r="D909" s="35">
        <v>267.46600000000001</v>
      </c>
      <c r="E909" s="41">
        <v>812.32899999999995</v>
      </c>
      <c r="F909" s="35">
        <v>1274</v>
      </c>
      <c r="G909" s="35">
        <v>75</v>
      </c>
      <c r="H909" s="43">
        <v>600</v>
      </c>
      <c r="I909" s="35">
        <v>695</v>
      </c>
      <c r="J909" s="35">
        <v>50</v>
      </c>
      <c r="K909" s="36"/>
      <c r="L909" s="36"/>
      <c r="M909" s="36"/>
      <c r="N909" s="36"/>
      <c r="O909" s="36"/>
      <c r="P909" s="36"/>
      <c r="Q909" s="36"/>
      <c r="R909" s="36"/>
      <c r="S909" s="36"/>
      <c r="T909" s="36"/>
    </row>
    <row r="910" spans="1:20" ht="15.75">
      <c r="A910" s="13">
        <v>69214</v>
      </c>
      <c r="B910" s="44">
        <f t="shared" si="5"/>
        <v>30</v>
      </c>
      <c r="C910" s="35">
        <v>194.20500000000001</v>
      </c>
      <c r="D910" s="35">
        <v>267.46600000000001</v>
      </c>
      <c r="E910" s="41">
        <v>812.32899999999995</v>
      </c>
      <c r="F910" s="35">
        <v>1274</v>
      </c>
      <c r="G910" s="35">
        <v>50</v>
      </c>
      <c r="H910" s="43">
        <v>600</v>
      </c>
      <c r="I910" s="35">
        <v>695</v>
      </c>
      <c r="J910" s="35">
        <v>50</v>
      </c>
      <c r="K910" s="36"/>
      <c r="L910" s="36"/>
      <c r="M910" s="36"/>
      <c r="N910" s="36"/>
      <c r="O910" s="36"/>
      <c r="P910" s="36"/>
      <c r="Q910" s="36"/>
      <c r="R910" s="36"/>
      <c r="S910" s="36"/>
      <c r="T910" s="36"/>
    </row>
    <row r="911" spans="1:20" ht="15.75">
      <c r="A911" s="13">
        <v>69245</v>
      </c>
      <c r="B911" s="44">
        <f t="shared" si="5"/>
        <v>31</v>
      </c>
      <c r="C911" s="35">
        <v>194.20500000000001</v>
      </c>
      <c r="D911" s="35">
        <v>267.46600000000001</v>
      </c>
      <c r="E911" s="41">
        <v>812.32899999999995</v>
      </c>
      <c r="F911" s="35">
        <v>1274</v>
      </c>
      <c r="G911" s="35">
        <v>50</v>
      </c>
      <c r="H911" s="43">
        <v>600</v>
      </c>
      <c r="I911" s="35">
        <v>695</v>
      </c>
      <c r="J911" s="35">
        <v>0</v>
      </c>
      <c r="K911" s="36"/>
      <c r="L911" s="36"/>
      <c r="M911" s="36"/>
      <c r="N911" s="36"/>
      <c r="O911" s="36"/>
      <c r="P911" s="36"/>
      <c r="Q911" s="36"/>
      <c r="R911" s="36"/>
      <c r="S911" s="36"/>
      <c r="T911" s="36"/>
    </row>
    <row r="912" spans="1:20" ht="15.75">
      <c r="A912" s="13">
        <v>69276</v>
      </c>
      <c r="B912" s="44">
        <f t="shared" si="5"/>
        <v>31</v>
      </c>
      <c r="C912" s="35">
        <v>194.20500000000001</v>
      </c>
      <c r="D912" s="35">
        <v>267.46600000000001</v>
      </c>
      <c r="E912" s="41">
        <v>812.32899999999995</v>
      </c>
      <c r="F912" s="35">
        <v>1274</v>
      </c>
      <c r="G912" s="35">
        <v>50</v>
      </c>
      <c r="H912" s="43">
        <v>600</v>
      </c>
      <c r="I912" s="35">
        <v>695</v>
      </c>
      <c r="J912" s="35">
        <v>0</v>
      </c>
      <c r="K912" s="36"/>
      <c r="L912" s="36"/>
      <c r="M912" s="36"/>
      <c r="N912" s="36"/>
      <c r="O912" s="36"/>
      <c r="P912" s="36"/>
      <c r="Q912" s="36"/>
      <c r="R912" s="36"/>
      <c r="S912" s="36"/>
      <c r="T912" s="36"/>
    </row>
    <row r="913" spans="1:20" ht="15.75">
      <c r="A913" s="13">
        <v>69306</v>
      </c>
      <c r="B913" s="44">
        <f t="shared" si="5"/>
        <v>30</v>
      </c>
      <c r="C913" s="35">
        <v>194.20500000000001</v>
      </c>
      <c r="D913" s="35">
        <v>267.46600000000001</v>
      </c>
      <c r="E913" s="41">
        <v>812.32899999999995</v>
      </c>
      <c r="F913" s="35">
        <v>1274</v>
      </c>
      <c r="G913" s="35">
        <v>50</v>
      </c>
      <c r="H913" s="43">
        <v>600</v>
      </c>
      <c r="I913" s="35">
        <v>695</v>
      </c>
      <c r="J913" s="35">
        <v>0</v>
      </c>
      <c r="K913" s="36"/>
      <c r="L913" s="36"/>
      <c r="M913" s="36"/>
      <c r="N913" s="36"/>
      <c r="O913" s="36"/>
      <c r="P913" s="36"/>
      <c r="Q913" s="36"/>
      <c r="R913" s="36"/>
      <c r="S913" s="36"/>
      <c r="T913" s="36"/>
    </row>
    <row r="914" spans="1:20" ht="15.75">
      <c r="A914" s="13">
        <v>69337</v>
      </c>
      <c r="B914" s="44">
        <f t="shared" si="5"/>
        <v>31</v>
      </c>
      <c r="C914" s="35">
        <v>131.881</v>
      </c>
      <c r="D914" s="35">
        <v>277.16699999999997</v>
      </c>
      <c r="E914" s="41">
        <v>829.952</v>
      </c>
      <c r="F914" s="35">
        <v>1239</v>
      </c>
      <c r="G914" s="35">
        <v>75</v>
      </c>
      <c r="H914" s="43">
        <v>600</v>
      </c>
      <c r="I914" s="35">
        <v>695</v>
      </c>
      <c r="J914" s="35">
        <v>0</v>
      </c>
      <c r="K914" s="36"/>
      <c r="L914" s="36"/>
      <c r="M914" s="36"/>
      <c r="N914" s="36"/>
      <c r="O914" s="36"/>
      <c r="P914" s="36"/>
      <c r="Q914" s="36"/>
      <c r="R914" s="36"/>
      <c r="S914" s="36"/>
      <c r="T914" s="36"/>
    </row>
    <row r="915" spans="1:20" ht="15.75">
      <c r="A915" s="13">
        <v>69367</v>
      </c>
      <c r="B915" s="44">
        <f t="shared" si="5"/>
        <v>30</v>
      </c>
      <c r="C915" s="35">
        <v>122.58</v>
      </c>
      <c r="D915" s="35">
        <v>297.94099999999997</v>
      </c>
      <c r="E915" s="41">
        <v>729.47900000000004</v>
      </c>
      <c r="F915" s="35">
        <v>1150</v>
      </c>
      <c r="G915" s="35">
        <v>100</v>
      </c>
      <c r="H915" s="43">
        <v>600</v>
      </c>
      <c r="I915" s="35">
        <v>695</v>
      </c>
      <c r="J915" s="35">
        <v>50</v>
      </c>
      <c r="K915" s="36"/>
      <c r="L915" s="36"/>
      <c r="M915" s="36"/>
      <c r="N915" s="36"/>
      <c r="O915" s="36"/>
      <c r="P915" s="36"/>
      <c r="Q915" s="36"/>
      <c r="R915" s="36"/>
      <c r="S915" s="36"/>
      <c r="T915" s="36"/>
    </row>
    <row r="916" spans="1:20" ht="15.75">
      <c r="A916" s="13">
        <v>69398</v>
      </c>
      <c r="B916" s="44">
        <f t="shared" si="5"/>
        <v>31</v>
      </c>
      <c r="C916" s="35">
        <v>122.58</v>
      </c>
      <c r="D916" s="35">
        <v>297.94099999999997</v>
      </c>
      <c r="E916" s="41">
        <v>729.47900000000004</v>
      </c>
      <c r="F916" s="35">
        <v>1150</v>
      </c>
      <c r="G916" s="35">
        <v>100</v>
      </c>
      <c r="H916" s="43">
        <v>600</v>
      </c>
      <c r="I916" s="35">
        <v>695</v>
      </c>
      <c r="J916" s="35">
        <v>50</v>
      </c>
      <c r="K916" s="36"/>
      <c r="L916" s="36"/>
      <c r="M916" s="36"/>
      <c r="N916" s="36"/>
      <c r="O916" s="36"/>
      <c r="P916" s="36"/>
      <c r="Q916" s="36"/>
      <c r="R916" s="36"/>
      <c r="S916" s="36"/>
      <c r="T916" s="36"/>
    </row>
    <row r="917" spans="1:20" ht="15.75">
      <c r="A917" s="13">
        <v>69429</v>
      </c>
      <c r="B917" s="44">
        <f t="shared" si="5"/>
        <v>31</v>
      </c>
      <c r="C917" s="35">
        <v>122.58</v>
      </c>
      <c r="D917" s="35">
        <v>297.94099999999997</v>
      </c>
      <c r="E917" s="41">
        <v>729.47900000000004</v>
      </c>
      <c r="F917" s="35">
        <v>1150</v>
      </c>
      <c r="G917" s="35">
        <v>100</v>
      </c>
      <c r="H917" s="43">
        <v>600</v>
      </c>
      <c r="I917" s="35">
        <v>695</v>
      </c>
      <c r="J917" s="35">
        <v>50</v>
      </c>
      <c r="K917" s="36"/>
      <c r="L917" s="36"/>
      <c r="M917" s="36"/>
      <c r="N917" s="36"/>
      <c r="O917" s="36"/>
      <c r="P917" s="36"/>
      <c r="Q917" s="36"/>
      <c r="R917" s="36"/>
      <c r="S917" s="36"/>
      <c r="T917" s="36"/>
    </row>
    <row r="918" spans="1:20" ht="15.75">
      <c r="A918" s="13">
        <v>69457</v>
      </c>
      <c r="B918" s="44">
        <f t="shared" si="5"/>
        <v>28</v>
      </c>
      <c r="C918" s="35">
        <v>122.58</v>
      </c>
      <c r="D918" s="35">
        <v>297.94099999999997</v>
      </c>
      <c r="E918" s="41">
        <v>729.47900000000004</v>
      </c>
      <c r="F918" s="35">
        <v>1150</v>
      </c>
      <c r="G918" s="35">
        <v>100</v>
      </c>
      <c r="H918" s="43">
        <v>600</v>
      </c>
      <c r="I918" s="35">
        <v>695</v>
      </c>
      <c r="J918" s="35">
        <v>50</v>
      </c>
      <c r="K918" s="36"/>
      <c r="L918" s="36"/>
      <c r="M918" s="36"/>
      <c r="N918" s="36"/>
      <c r="O918" s="36"/>
      <c r="P918" s="36"/>
      <c r="Q918" s="36"/>
      <c r="R918" s="36"/>
      <c r="S918" s="36"/>
      <c r="T918" s="36"/>
    </row>
    <row r="919" spans="1:20" ht="15.75">
      <c r="A919" s="13">
        <v>69488</v>
      </c>
      <c r="B919" s="44">
        <f t="shared" si="5"/>
        <v>31</v>
      </c>
      <c r="C919" s="35">
        <v>122.58</v>
      </c>
      <c r="D919" s="35">
        <v>297.94099999999997</v>
      </c>
      <c r="E919" s="41">
        <v>729.47900000000004</v>
      </c>
      <c r="F919" s="35">
        <v>1150</v>
      </c>
      <c r="G919" s="35">
        <v>100</v>
      </c>
      <c r="H919" s="43">
        <v>600</v>
      </c>
      <c r="I919" s="35">
        <v>695</v>
      </c>
      <c r="J919" s="35">
        <v>50</v>
      </c>
      <c r="K919" s="36"/>
      <c r="L919" s="36"/>
      <c r="M919" s="36"/>
      <c r="N919" s="36"/>
      <c r="O919" s="36"/>
      <c r="P919" s="36"/>
      <c r="Q919" s="36"/>
      <c r="R919" s="36"/>
      <c r="S919" s="36"/>
      <c r="T919" s="36"/>
    </row>
    <row r="920" spans="1:20" ht="15.75">
      <c r="A920" s="13">
        <v>69518</v>
      </c>
      <c r="B920" s="44">
        <f t="shared" si="5"/>
        <v>30</v>
      </c>
      <c r="C920" s="35">
        <v>141.29300000000001</v>
      </c>
      <c r="D920" s="35">
        <v>267.99299999999999</v>
      </c>
      <c r="E920" s="41">
        <v>829.71400000000006</v>
      </c>
      <c r="F920" s="35">
        <v>1239</v>
      </c>
      <c r="G920" s="35">
        <v>100</v>
      </c>
      <c r="H920" s="43">
        <v>600</v>
      </c>
      <c r="I920" s="35">
        <v>695</v>
      </c>
      <c r="J920" s="35">
        <v>50</v>
      </c>
      <c r="K920" s="36"/>
      <c r="L920" s="36"/>
      <c r="M920" s="36"/>
      <c r="N920" s="36"/>
      <c r="O920" s="36"/>
      <c r="P920" s="36"/>
      <c r="Q920" s="36"/>
      <c r="R920" s="36"/>
      <c r="S920" s="36"/>
      <c r="T920" s="36"/>
    </row>
    <row r="921" spans="1:20" ht="15.75">
      <c r="A921" s="13">
        <v>69549</v>
      </c>
      <c r="B921" s="44">
        <f t="shared" si="5"/>
        <v>31</v>
      </c>
      <c r="C921" s="35">
        <v>194.20500000000001</v>
      </c>
      <c r="D921" s="35">
        <v>267.46600000000001</v>
      </c>
      <c r="E921" s="41">
        <v>812.32899999999995</v>
      </c>
      <c r="F921" s="35">
        <v>1274</v>
      </c>
      <c r="G921" s="35">
        <v>75</v>
      </c>
      <c r="H921" s="43">
        <v>600</v>
      </c>
      <c r="I921" s="35">
        <v>695</v>
      </c>
      <c r="J921" s="35">
        <v>50</v>
      </c>
      <c r="K921" s="36"/>
      <c r="L921" s="36"/>
      <c r="M921" s="36"/>
      <c r="N921" s="36"/>
      <c r="O921" s="36"/>
      <c r="P921" s="36"/>
      <c r="Q921" s="36"/>
      <c r="R921" s="36"/>
      <c r="S921" s="36"/>
      <c r="T921" s="36"/>
    </row>
    <row r="922" spans="1:20" ht="15.75">
      <c r="A922" s="13">
        <v>69579</v>
      </c>
      <c r="B922" s="44">
        <f t="shared" si="5"/>
        <v>30</v>
      </c>
      <c r="C922" s="35">
        <v>194.20500000000001</v>
      </c>
      <c r="D922" s="35">
        <v>267.46600000000001</v>
      </c>
      <c r="E922" s="41">
        <v>812.32899999999995</v>
      </c>
      <c r="F922" s="35">
        <v>1274</v>
      </c>
      <c r="G922" s="35">
        <v>50</v>
      </c>
      <c r="H922" s="43">
        <v>600</v>
      </c>
      <c r="I922" s="35">
        <v>695</v>
      </c>
      <c r="J922" s="35">
        <v>50</v>
      </c>
      <c r="K922" s="36"/>
      <c r="L922" s="36"/>
      <c r="M922" s="36"/>
      <c r="N922" s="36"/>
      <c r="O922" s="36"/>
      <c r="P922" s="36"/>
      <c r="Q922" s="36"/>
      <c r="R922" s="36"/>
      <c r="S922" s="36"/>
      <c r="T922" s="36"/>
    </row>
    <row r="923" spans="1:20" ht="15.75">
      <c r="A923" s="13">
        <v>69610</v>
      </c>
      <c r="B923" s="44">
        <f t="shared" si="5"/>
        <v>31</v>
      </c>
      <c r="C923" s="35">
        <v>194.20500000000001</v>
      </c>
      <c r="D923" s="35">
        <v>267.46600000000001</v>
      </c>
      <c r="E923" s="41">
        <v>812.32899999999995</v>
      </c>
      <c r="F923" s="35">
        <v>1274</v>
      </c>
      <c r="G923" s="35">
        <v>50</v>
      </c>
      <c r="H923" s="43">
        <v>600</v>
      </c>
      <c r="I923" s="35">
        <v>695</v>
      </c>
      <c r="J923" s="35">
        <v>0</v>
      </c>
      <c r="K923" s="36"/>
      <c r="L923" s="36"/>
      <c r="M923" s="36"/>
      <c r="N923" s="36"/>
      <c r="O923" s="36"/>
      <c r="P923" s="36"/>
      <c r="Q923" s="36"/>
      <c r="R923" s="36"/>
      <c r="S923" s="36"/>
      <c r="T923" s="36"/>
    </row>
    <row r="924" spans="1:20" ht="15.75">
      <c r="A924" s="13">
        <v>69641</v>
      </c>
      <c r="B924" s="44">
        <f t="shared" si="5"/>
        <v>31</v>
      </c>
      <c r="C924" s="35">
        <v>194.20500000000001</v>
      </c>
      <c r="D924" s="35">
        <v>267.46600000000001</v>
      </c>
      <c r="E924" s="41">
        <v>812.32899999999995</v>
      </c>
      <c r="F924" s="35">
        <v>1274</v>
      </c>
      <c r="G924" s="35">
        <v>50</v>
      </c>
      <c r="H924" s="43">
        <v>600</v>
      </c>
      <c r="I924" s="35">
        <v>695</v>
      </c>
      <c r="J924" s="35">
        <v>0</v>
      </c>
      <c r="K924" s="36"/>
      <c r="L924" s="36"/>
      <c r="M924" s="36"/>
      <c r="N924" s="36"/>
      <c r="O924" s="36"/>
      <c r="P924" s="36"/>
      <c r="Q924" s="36"/>
      <c r="R924" s="36"/>
      <c r="S924" s="36"/>
      <c r="T924" s="36"/>
    </row>
    <row r="925" spans="1:20" ht="15.75">
      <c r="A925" s="13">
        <v>69671</v>
      </c>
      <c r="B925" s="44">
        <f t="shared" si="5"/>
        <v>30</v>
      </c>
      <c r="C925" s="35">
        <v>194.20500000000001</v>
      </c>
      <c r="D925" s="35">
        <v>267.46600000000001</v>
      </c>
      <c r="E925" s="41">
        <v>812.32899999999995</v>
      </c>
      <c r="F925" s="35">
        <v>1274</v>
      </c>
      <c r="G925" s="35">
        <v>50</v>
      </c>
      <c r="H925" s="43">
        <v>600</v>
      </c>
      <c r="I925" s="35">
        <v>695</v>
      </c>
      <c r="J925" s="35">
        <v>0</v>
      </c>
      <c r="K925" s="36"/>
      <c r="L925" s="36"/>
      <c r="M925" s="36"/>
      <c r="N925" s="36"/>
      <c r="O925" s="36"/>
      <c r="P925" s="36"/>
      <c r="Q925" s="36"/>
      <c r="R925" s="36"/>
      <c r="S925" s="36"/>
      <c r="T925" s="36"/>
    </row>
    <row r="926" spans="1:20" ht="15.75">
      <c r="A926" s="13">
        <v>69702</v>
      </c>
      <c r="B926" s="44">
        <f t="shared" si="5"/>
        <v>31</v>
      </c>
      <c r="C926" s="35">
        <v>131.881</v>
      </c>
      <c r="D926" s="35">
        <v>277.16699999999997</v>
      </c>
      <c r="E926" s="41">
        <v>829.952</v>
      </c>
      <c r="F926" s="35">
        <v>1239</v>
      </c>
      <c r="G926" s="35">
        <v>75</v>
      </c>
      <c r="H926" s="43">
        <v>600</v>
      </c>
      <c r="I926" s="35">
        <v>695</v>
      </c>
      <c r="J926" s="35">
        <v>0</v>
      </c>
      <c r="K926" s="36"/>
      <c r="L926" s="36"/>
      <c r="M926" s="36"/>
      <c r="N926" s="36"/>
      <c r="O926" s="36"/>
      <c r="P926" s="36"/>
      <c r="Q926" s="36"/>
      <c r="R926" s="36"/>
      <c r="S926" s="36"/>
      <c r="T926" s="36"/>
    </row>
    <row r="927" spans="1:20" ht="15.75">
      <c r="A927" s="13">
        <v>69732</v>
      </c>
      <c r="B927" s="44">
        <f t="shared" si="5"/>
        <v>30</v>
      </c>
      <c r="C927" s="35">
        <v>122.58</v>
      </c>
      <c r="D927" s="35">
        <v>297.94099999999997</v>
      </c>
      <c r="E927" s="41">
        <v>729.47900000000004</v>
      </c>
      <c r="F927" s="35">
        <v>1150</v>
      </c>
      <c r="G927" s="35">
        <v>100</v>
      </c>
      <c r="H927" s="43">
        <v>600</v>
      </c>
      <c r="I927" s="35">
        <v>695</v>
      </c>
      <c r="J927" s="35">
        <v>50</v>
      </c>
      <c r="K927" s="36"/>
      <c r="L927" s="36"/>
      <c r="M927" s="36"/>
      <c r="N927" s="36"/>
      <c r="O927" s="36"/>
      <c r="P927" s="36"/>
      <c r="Q927" s="36"/>
      <c r="R927" s="36"/>
      <c r="S927" s="36"/>
      <c r="T927" s="36"/>
    </row>
    <row r="928" spans="1:20" ht="15.75">
      <c r="A928" s="13">
        <v>69763</v>
      </c>
      <c r="B928" s="44">
        <f t="shared" si="5"/>
        <v>31</v>
      </c>
      <c r="C928" s="35">
        <v>122.58</v>
      </c>
      <c r="D928" s="35">
        <v>297.94099999999997</v>
      </c>
      <c r="E928" s="41">
        <v>729.47900000000004</v>
      </c>
      <c r="F928" s="35">
        <v>1150</v>
      </c>
      <c r="G928" s="35">
        <v>100</v>
      </c>
      <c r="H928" s="43">
        <v>600</v>
      </c>
      <c r="I928" s="35">
        <v>695</v>
      </c>
      <c r="J928" s="35">
        <v>50</v>
      </c>
      <c r="K928" s="36"/>
      <c r="L928" s="36"/>
      <c r="M928" s="36"/>
      <c r="N928" s="36"/>
      <c r="O928" s="36"/>
      <c r="P928" s="36"/>
      <c r="Q928" s="36"/>
      <c r="R928" s="36"/>
      <c r="S928" s="36"/>
      <c r="T928" s="36"/>
    </row>
    <row r="929" spans="1:20" ht="15.75">
      <c r="A929" s="13">
        <v>69794</v>
      </c>
      <c r="B929" s="44">
        <f t="shared" si="5"/>
        <v>31</v>
      </c>
      <c r="C929" s="35">
        <v>122.58</v>
      </c>
      <c r="D929" s="35">
        <v>297.94099999999997</v>
      </c>
      <c r="E929" s="41">
        <v>729.47900000000004</v>
      </c>
      <c r="F929" s="35">
        <v>1150</v>
      </c>
      <c r="G929" s="35">
        <v>100</v>
      </c>
      <c r="H929" s="43">
        <v>600</v>
      </c>
      <c r="I929" s="35">
        <v>695</v>
      </c>
      <c r="J929" s="35">
        <v>50</v>
      </c>
      <c r="K929" s="36"/>
      <c r="L929" s="36"/>
      <c r="M929" s="36"/>
      <c r="N929" s="36"/>
      <c r="O929" s="36"/>
      <c r="P929" s="36"/>
      <c r="Q929" s="36"/>
      <c r="R929" s="36"/>
      <c r="S929" s="36"/>
      <c r="T929" s="36"/>
    </row>
    <row r="930" spans="1:20" ht="15.75">
      <c r="A930" s="13">
        <v>69822</v>
      </c>
      <c r="B930" s="44">
        <f t="shared" si="5"/>
        <v>28</v>
      </c>
      <c r="C930" s="35">
        <v>122.58</v>
      </c>
      <c r="D930" s="35">
        <v>297.94099999999997</v>
      </c>
      <c r="E930" s="41">
        <v>729.47900000000004</v>
      </c>
      <c r="F930" s="35">
        <v>1150</v>
      </c>
      <c r="G930" s="35">
        <v>100</v>
      </c>
      <c r="H930" s="43">
        <v>600</v>
      </c>
      <c r="I930" s="35">
        <v>695</v>
      </c>
      <c r="J930" s="35">
        <v>50</v>
      </c>
      <c r="K930" s="36"/>
      <c r="L930" s="36"/>
      <c r="M930" s="36"/>
      <c r="N930" s="36"/>
      <c r="O930" s="36"/>
      <c r="P930" s="36"/>
      <c r="Q930" s="36"/>
      <c r="R930" s="36"/>
      <c r="S930" s="36"/>
      <c r="T930" s="36"/>
    </row>
    <row r="931" spans="1:20" ht="15.75">
      <c r="A931" s="13">
        <v>69853</v>
      </c>
      <c r="B931" s="44">
        <f t="shared" si="5"/>
        <v>31</v>
      </c>
      <c r="C931" s="35">
        <v>122.58</v>
      </c>
      <c r="D931" s="35">
        <v>297.94099999999997</v>
      </c>
      <c r="E931" s="41">
        <v>729.47900000000004</v>
      </c>
      <c r="F931" s="35">
        <v>1150</v>
      </c>
      <c r="G931" s="35">
        <v>100</v>
      </c>
      <c r="H931" s="43">
        <v>600</v>
      </c>
      <c r="I931" s="35">
        <v>695</v>
      </c>
      <c r="J931" s="35">
        <v>50</v>
      </c>
      <c r="K931" s="36"/>
      <c r="L931" s="36"/>
      <c r="M931" s="36"/>
      <c r="N931" s="36"/>
      <c r="O931" s="36"/>
      <c r="P931" s="36"/>
      <c r="Q931" s="36"/>
      <c r="R931" s="36"/>
      <c r="S931" s="36"/>
      <c r="T931" s="36"/>
    </row>
    <row r="932" spans="1:20" ht="15.75">
      <c r="A932" s="13">
        <v>69883</v>
      </c>
      <c r="B932" s="44">
        <f t="shared" si="5"/>
        <v>30</v>
      </c>
      <c r="C932" s="35">
        <v>141.29300000000001</v>
      </c>
      <c r="D932" s="35">
        <v>267.99299999999999</v>
      </c>
      <c r="E932" s="41">
        <v>829.71400000000006</v>
      </c>
      <c r="F932" s="35">
        <v>1239</v>
      </c>
      <c r="G932" s="35">
        <v>100</v>
      </c>
      <c r="H932" s="43">
        <v>600</v>
      </c>
      <c r="I932" s="35">
        <v>695</v>
      </c>
      <c r="J932" s="35">
        <v>50</v>
      </c>
      <c r="K932" s="36"/>
      <c r="L932" s="36"/>
      <c r="M932" s="36"/>
      <c r="N932" s="36"/>
      <c r="O932" s="36"/>
      <c r="P932" s="36"/>
      <c r="Q932" s="36"/>
      <c r="R932" s="36"/>
      <c r="S932" s="36"/>
      <c r="T932" s="36"/>
    </row>
    <row r="933" spans="1:20" ht="15.75">
      <c r="A933" s="13">
        <v>69914</v>
      </c>
      <c r="B933" s="44">
        <f t="shared" si="5"/>
        <v>31</v>
      </c>
      <c r="C933" s="35">
        <v>194.20500000000001</v>
      </c>
      <c r="D933" s="35">
        <v>267.46600000000001</v>
      </c>
      <c r="E933" s="41">
        <v>812.32899999999995</v>
      </c>
      <c r="F933" s="35">
        <v>1274</v>
      </c>
      <c r="G933" s="35">
        <v>75</v>
      </c>
      <c r="H933" s="43">
        <v>600</v>
      </c>
      <c r="I933" s="35">
        <v>695</v>
      </c>
      <c r="J933" s="35">
        <v>50</v>
      </c>
      <c r="K933" s="36"/>
      <c r="L933" s="36"/>
      <c r="M933" s="36"/>
      <c r="N933" s="36"/>
      <c r="O933" s="36"/>
      <c r="P933" s="36"/>
      <c r="Q933" s="36"/>
      <c r="R933" s="36"/>
      <c r="S933" s="36"/>
      <c r="T933" s="36"/>
    </row>
    <row r="934" spans="1:20" ht="15.75">
      <c r="A934" s="13">
        <v>69944</v>
      </c>
      <c r="B934" s="44">
        <f t="shared" si="5"/>
        <v>30</v>
      </c>
      <c r="C934" s="35">
        <v>194.20500000000001</v>
      </c>
      <c r="D934" s="35">
        <v>267.46600000000001</v>
      </c>
      <c r="E934" s="41">
        <v>812.32899999999995</v>
      </c>
      <c r="F934" s="35">
        <v>1274</v>
      </c>
      <c r="G934" s="35">
        <v>50</v>
      </c>
      <c r="H934" s="43">
        <v>600</v>
      </c>
      <c r="I934" s="35">
        <v>695</v>
      </c>
      <c r="J934" s="35">
        <v>50</v>
      </c>
      <c r="K934" s="36"/>
      <c r="L934" s="36"/>
      <c r="M934" s="36"/>
      <c r="N934" s="36"/>
      <c r="O934" s="36"/>
      <c r="P934" s="36"/>
      <c r="Q934" s="36"/>
      <c r="R934" s="36"/>
      <c r="S934" s="36"/>
      <c r="T934" s="36"/>
    </row>
    <row r="935" spans="1:20" ht="15.75">
      <c r="A935" s="13">
        <v>69975</v>
      </c>
      <c r="B935" s="44">
        <f t="shared" si="5"/>
        <v>31</v>
      </c>
      <c r="C935" s="35">
        <v>194.20500000000001</v>
      </c>
      <c r="D935" s="35">
        <v>267.46600000000001</v>
      </c>
      <c r="E935" s="41">
        <v>812.32899999999995</v>
      </c>
      <c r="F935" s="35">
        <v>1274</v>
      </c>
      <c r="G935" s="35">
        <v>50</v>
      </c>
      <c r="H935" s="43">
        <v>600</v>
      </c>
      <c r="I935" s="35">
        <v>695</v>
      </c>
      <c r="J935" s="35">
        <v>0</v>
      </c>
      <c r="K935" s="36"/>
      <c r="L935" s="36"/>
      <c r="M935" s="36"/>
      <c r="N935" s="36"/>
      <c r="O935" s="36"/>
      <c r="P935" s="36"/>
      <c r="Q935" s="36"/>
      <c r="R935" s="36"/>
      <c r="S935" s="36"/>
      <c r="T935" s="36"/>
    </row>
    <row r="936" spans="1:20" ht="15.75">
      <c r="A936" s="13">
        <v>70006</v>
      </c>
      <c r="B936" s="44">
        <f t="shared" si="5"/>
        <v>31</v>
      </c>
      <c r="C936" s="35">
        <v>194.20500000000001</v>
      </c>
      <c r="D936" s="35">
        <v>267.46600000000001</v>
      </c>
      <c r="E936" s="41">
        <v>812.32899999999995</v>
      </c>
      <c r="F936" s="35">
        <v>1274</v>
      </c>
      <c r="G936" s="35">
        <v>50</v>
      </c>
      <c r="H936" s="43">
        <v>600</v>
      </c>
      <c r="I936" s="35">
        <v>695</v>
      </c>
      <c r="J936" s="35">
        <v>0</v>
      </c>
      <c r="K936" s="36"/>
      <c r="L936" s="36"/>
      <c r="M936" s="36"/>
      <c r="N936" s="36"/>
      <c r="O936" s="36"/>
      <c r="P936" s="36"/>
      <c r="Q936" s="36"/>
      <c r="R936" s="36"/>
      <c r="S936" s="36"/>
      <c r="T936" s="36"/>
    </row>
    <row r="937" spans="1:20" ht="15.75">
      <c r="A937" s="13">
        <v>70036</v>
      </c>
      <c r="B937" s="44">
        <f t="shared" si="5"/>
        <v>30</v>
      </c>
      <c r="C937" s="35">
        <v>194.20500000000001</v>
      </c>
      <c r="D937" s="35">
        <v>267.46600000000001</v>
      </c>
      <c r="E937" s="41">
        <v>812.32899999999995</v>
      </c>
      <c r="F937" s="35">
        <v>1274</v>
      </c>
      <c r="G937" s="35">
        <v>50</v>
      </c>
      <c r="H937" s="43">
        <v>600</v>
      </c>
      <c r="I937" s="35">
        <v>695</v>
      </c>
      <c r="J937" s="35">
        <v>0</v>
      </c>
      <c r="K937" s="36"/>
      <c r="L937" s="36"/>
      <c r="M937" s="36"/>
      <c r="N937" s="36"/>
      <c r="O937" s="36"/>
      <c r="P937" s="36"/>
      <c r="Q937" s="36"/>
      <c r="R937" s="36"/>
      <c r="S937" s="36"/>
      <c r="T937" s="36"/>
    </row>
    <row r="938" spans="1:20" ht="15.75">
      <c r="A938" s="13">
        <v>70067</v>
      </c>
      <c r="B938" s="44">
        <f t="shared" si="5"/>
        <v>31</v>
      </c>
      <c r="C938" s="35">
        <v>131.881</v>
      </c>
      <c r="D938" s="35">
        <v>277.16699999999997</v>
      </c>
      <c r="E938" s="41">
        <v>829.952</v>
      </c>
      <c r="F938" s="35">
        <v>1239</v>
      </c>
      <c r="G938" s="35">
        <v>75</v>
      </c>
      <c r="H938" s="43">
        <v>600</v>
      </c>
      <c r="I938" s="35">
        <v>695</v>
      </c>
      <c r="J938" s="35">
        <v>0</v>
      </c>
      <c r="K938" s="36"/>
      <c r="L938" s="36"/>
      <c r="M938" s="36"/>
      <c r="N938" s="36"/>
      <c r="O938" s="36"/>
      <c r="P938" s="36"/>
      <c r="Q938" s="36"/>
      <c r="R938" s="36"/>
      <c r="S938" s="36"/>
      <c r="T938" s="36"/>
    </row>
    <row r="939" spans="1:20" ht="15.75">
      <c r="A939" s="13">
        <v>70097</v>
      </c>
      <c r="B939" s="44">
        <f t="shared" si="5"/>
        <v>30</v>
      </c>
      <c r="C939" s="35">
        <v>122.58</v>
      </c>
      <c r="D939" s="35">
        <v>297.94099999999997</v>
      </c>
      <c r="E939" s="41">
        <v>729.47900000000004</v>
      </c>
      <c r="F939" s="35">
        <v>1150</v>
      </c>
      <c r="G939" s="35">
        <v>100</v>
      </c>
      <c r="H939" s="43">
        <v>600</v>
      </c>
      <c r="I939" s="35">
        <v>695</v>
      </c>
      <c r="J939" s="35">
        <v>50</v>
      </c>
      <c r="K939" s="36"/>
      <c r="L939" s="36"/>
      <c r="M939" s="36"/>
      <c r="N939" s="36"/>
      <c r="O939" s="36"/>
      <c r="P939" s="36"/>
      <c r="Q939" s="36"/>
      <c r="R939" s="36"/>
      <c r="S939" s="36"/>
      <c r="T939" s="36"/>
    </row>
    <row r="940" spans="1:20" ht="15.75">
      <c r="A940" s="13">
        <v>70128</v>
      </c>
      <c r="B940" s="44">
        <f t="shared" si="5"/>
        <v>31</v>
      </c>
      <c r="C940" s="35">
        <v>122.58</v>
      </c>
      <c r="D940" s="35">
        <v>297.94099999999997</v>
      </c>
      <c r="E940" s="41">
        <v>729.47900000000004</v>
      </c>
      <c r="F940" s="35">
        <v>1150</v>
      </c>
      <c r="G940" s="35">
        <v>100</v>
      </c>
      <c r="H940" s="43">
        <v>600</v>
      </c>
      <c r="I940" s="35">
        <v>695</v>
      </c>
      <c r="J940" s="35">
        <v>50</v>
      </c>
      <c r="K940" s="36"/>
      <c r="L940" s="36"/>
      <c r="M940" s="36"/>
      <c r="N940" s="36"/>
      <c r="O940" s="36"/>
      <c r="P940" s="36"/>
      <c r="Q940" s="36"/>
      <c r="R940" s="36"/>
      <c r="S940" s="36"/>
      <c r="T940" s="36"/>
    </row>
    <row r="941" spans="1:20" ht="15.75">
      <c r="A941" s="13">
        <v>70159</v>
      </c>
      <c r="B941" s="44">
        <f t="shared" si="5"/>
        <v>31</v>
      </c>
      <c r="C941" s="35">
        <v>122.58</v>
      </c>
      <c r="D941" s="35">
        <v>297.94099999999997</v>
      </c>
      <c r="E941" s="41">
        <v>729.47900000000004</v>
      </c>
      <c r="F941" s="35">
        <v>1150</v>
      </c>
      <c r="G941" s="35">
        <v>100</v>
      </c>
      <c r="H941" s="43">
        <v>600</v>
      </c>
      <c r="I941" s="35">
        <v>695</v>
      </c>
      <c r="J941" s="35">
        <v>50</v>
      </c>
      <c r="K941" s="36"/>
      <c r="L941" s="36"/>
      <c r="M941" s="36"/>
      <c r="N941" s="36"/>
      <c r="O941" s="36"/>
      <c r="P941" s="36"/>
      <c r="Q941" s="36"/>
      <c r="R941" s="36"/>
      <c r="S941" s="36"/>
      <c r="T941" s="36"/>
    </row>
    <row r="942" spans="1:20" ht="15.75">
      <c r="A942" s="13">
        <v>70188</v>
      </c>
      <c r="B942" s="44">
        <f t="shared" si="5"/>
        <v>29</v>
      </c>
      <c r="C942" s="35">
        <v>122.58</v>
      </c>
      <c r="D942" s="35">
        <v>297.94099999999997</v>
      </c>
      <c r="E942" s="41">
        <v>729.47900000000004</v>
      </c>
      <c r="F942" s="35">
        <v>1150</v>
      </c>
      <c r="G942" s="35">
        <v>100</v>
      </c>
      <c r="H942" s="43">
        <v>600</v>
      </c>
      <c r="I942" s="35">
        <v>695</v>
      </c>
      <c r="J942" s="35">
        <v>50</v>
      </c>
      <c r="K942" s="36"/>
      <c r="L942" s="36"/>
      <c r="M942" s="36"/>
      <c r="N942" s="36"/>
      <c r="O942" s="36"/>
      <c r="P942" s="36"/>
      <c r="Q942" s="36"/>
      <c r="R942" s="36"/>
      <c r="S942" s="36"/>
      <c r="T942" s="36"/>
    </row>
    <row r="943" spans="1:20" ht="15.75">
      <c r="A943" s="13">
        <v>70219</v>
      </c>
      <c r="B943" s="44">
        <f t="shared" si="5"/>
        <v>31</v>
      </c>
      <c r="C943" s="35">
        <v>122.58</v>
      </c>
      <c r="D943" s="35">
        <v>297.94099999999997</v>
      </c>
      <c r="E943" s="41">
        <v>729.47900000000004</v>
      </c>
      <c r="F943" s="35">
        <v>1150</v>
      </c>
      <c r="G943" s="35">
        <v>100</v>
      </c>
      <c r="H943" s="43">
        <v>600</v>
      </c>
      <c r="I943" s="35">
        <v>695</v>
      </c>
      <c r="J943" s="35">
        <v>50</v>
      </c>
      <c r="K943" s="36"/>
      <c r="L943" s="36"/>
      <c r="M943" s="36"/>
      <c r="N943" s="36"/>
      <c r="O943" s="36"/>
      <c r="P943" s="36"/>
      <c r="Q943" s="36"/>
      <c r="R943" s="36"/>
      <c r="S943" s="36"/>
      <c r="T943" s="36"/>
    </row>
    <row r="944" spans="1:20" ht="15.75">
      <c r="A944" s="13">
        <v>70249</v>
      </c>
      <c r="B944" s="44">
        <f t="shared" si="5"/>
        <v>30</v>
      </c>
      <c r="C944" s="35">
        <v>141.29300000000001</v>
      </c>
      <c r="D944" s="35">
        <v>267.99299999999999</v>
      </c>
      <c r="E944" s="41">
        <v>829.71400000000006</v>
      </c>
      <c r="F944" s="35">
        <v>1239</v>
      </c>
      <c r="G944" s="35">
        <v>100</v>
      </c>
      <c r="H944" s="43">
        <v>600</v>
      </c>
      <c r="I944" s="35">
        <v>695</v>
      </c>
      <c r="J944" s="35">
        <v>50</v>
      </c>
      <c r="K944" s="36"/>
      <c r="L944" s="36"/>
      <c r="M944" s="36"/>
      <c r="N944" s="36"/>
      <c r="O944" s="36"/>
      <c r="P944" s="36"/>
      <c r="Q944" s="36"/>
      <c r="R944" s="36"/>
      <c r="S944" s="36"/>
      <c r="T944" s="36"/>
    </row>
    <row r="945" spans="1:20" ht="15.75">
      <c r="A945" s="13">
        <v>70280</v>
      </c>
      <c r="B945" s="44">
        <f t="shared" si="5"/>
        <v>31</v>
      </c>
      <c r="C945" s="35">
        <v>194.20500000000001</v>
      </c>
      <c r="D945" s="35">
        <v>267.46600000000001</v>
      </c>
      <c r="E945" s="41">
        <v>812.32899999999995</v>
      </c>
      <c r="F945" s="35">
        <v>1274</v>
      </c>
      <c r="G945" s="35">
        <v>75</v>
      </c>
      <c r="H945" s="43">
        <v>600</v>
      </c>
      <c r="I945" s="35">
        <v>695</v>
      </c>
      <c r="J945" s="35">
        <v>50</v>
      </c>
      <c r="K945" s="36"/>
      <c r="L945" s="36"/>
      <c r="M945" s="36"/>
      <c r="N945" s="36"/>
      <c r="O945" s="36"/>
      <c r="P945" s="36"/>
      <c r="Q945" s="36"/>
      <c r="R945" s="36"/>
      <c r="S945" s="36"/>
      <c r="T945" s="36"/>
    </row>
    <row r="946" spans="1:20" ht="15.75">
      <c r="A946" s="13">
        <v>70310</v>
      </c>
      <c r="B946" s="44">
        <f t="shared" si="5"/>
        <v>30</v>
      </c>
      <c r="C946" s="35">
        <v>194.20500000000001</v>
      </c>
      <c r="D946" s="35">
        <v>267.46600000000001</v>
      </c>
      <c r="E946" s="41">
        <v>812.32899999999995</v>
      </c>
      <c r="F946" s="35">
        <v>1274</v>
      </c>
      <c r="G946" s="35">
        <v>50</v>
      </c>
      <c r="H946" s="43">
        <v>600</v>
      </c>
      <c r="I946" s="35">
        <v>695</v>
      </c>
      <c r="J946" s="35">
        <v>50</v>
      </c>
      <c r="K946" s="36"/>
      <c r="L946" s="36"/>
      <c r="M946" s="36"/>
      <c r="N946" s="36"/>
      <c r="O946" s="36"/>
      <c r="P946" s="36"/>
      <c r="Q946" s="36"/>
      <c r="R946" s="36"/>
      <c r="S946" s="36"/>
      <c r="T946" s="36"/>
    </row>
    <row r="947" spans="1:20" ht="15.75">
      <c r="A947" s="13">
        <v>70341</v>
      </c>
      <c r="B947" s="44">
        <f t="shared" si="5"/>
        <v>31</v>
      </c>
      <c r="C947" s="35">
        <v>194.20500000000001</v>
      </c>
      <c r="D947" s="35">
        <v>267.46600000000001</v>
      </c>
      <c r="E947" s="41">
        <v>812.32899999999995</v>
      </c>
      <c r="F947" s="35">
        <v>1274</v>
      </c>
      <c r="G947" s="35">
        <v>50</v>
      </c>
      <c r="H947" s="43">
        <v>600</v>
      </c>
      <c r="I947" s="35">
        <v>695</v>
      </c>
      <c r="J947" s="35">
        <v>0</v>
      </c>
      <c r="K947" s="36"/>
      <c r="L947" s="36"/>
      <c r="M947" s="36"/>
      <c r="N947" s="36"/>
      <c r="O947" s="36"/>
      <c r="P947" s="36"/>
      <c r="Q947" s="36"/>
      <c r="R947" s="36"/>
      <c r="S947" s="36"/>
      <c r="T947" s="36"/>
    </row>
    <row r="948" spans="1:20" ht="15.75">
      <c r="A948" s="13">
        <v>70372</v>
      </c>
      <c r="B948" s="44">
        <f t="shared" si="5"/>
        <v>31</v>
      </c>
      <c r="C948" s="35">
        <v>194.20500000000001</v>
      </c>
      <c r="D948" s="35">
        <v>267.46600000000001</v>
      </c>
      <c r="E948" s="41">
        <v>812.32899999999995</v>
      </c>
      <c r="F948" s="35">
        <v>1274</v>
      </c>
      <c r="G948" s="35">
        <v>50</v>
      </c>
      <c r="H948" s="43">
        <v>600</v>
      </c>
      <c r="I948" s="35">
        <v>695</v>
      </c>
      <c r="J948" s="35">
        <v>0</v>
      </c>
      <c r="K948" s="36"/>
      <c r="L948" s="36"/>
      <c r="M948" s="36"/>
      <c r="N948" s="36"/>
      <c r="O948" s="36"/>
      <c r="P948" s="36"/>
      <c r="Q948" s="36"/>
      <c r="R948" s="36"/>
      <c r="S948" s="36"/>
      <c r="T948" s="36"/>
    </row>
    <row r="949" spans="1:20" ht="15.75">
      <c r="A949" s="13">
        <v>70402</v>
      </c>
      <c r="B949" s="44">
        <f t="shared" si="5"/>
        <v>30</v>
      </c>
      <c r="C949" s="35">
        <v>194.20500000000001</v>
      </c>
      <c r="D949" s="35">
        <v>267.46600000000001</v>
      </c>
      <c r="E949" s="41">
        <v>812.32899999999995</v>
      </c>
      <c r="F949" s="35">
        <v>1274</v>
      </c>
      <c r="G949" s="35">
        <v>50</v>
      </c>
      <c r="H949" s="43">
        <v>600</v>
      </c>
      <c r="I949" s="35">
        <v>695</v>
      </c>
      <c r="J949" s="35">
        <v>0</v>
      </c>
      <c r="K949" s="36"/>
      <c r="L949" s="36"/>
      <c r="M949" s="36"/>
      <c r="N949" s="36"/>
      <c r="O949" s="36"/>
      <c r="P949" s="36"/>
      <c r="Q949" s="36"/>
      <c r="R949" s="36"/>
      <c r="S949" s="36"/>
      <c r="T949" s="36"/>
    </row>
    <row r="950" spans="1:20" ht="15.75">
      <c r="A950" s="13">
        <v>70433</v>
      </c>
      <c r="B950" s="44">
        <f t="shared" si="5"/>
        <v>31</v>
      </c>
      <c r="C950" s="35">
        <v>131.881</v>
      </c>
      <c r="D950" s="35">
        <v>277.16699999999997</v>
      </c>
      <c r="E950" s="41">
        <v>829.952</v>
      </c>
      <c r="F950" s="35">
        <v>1239</v>
      </c>
      <c r="G950" s="35">
        <v>75</v>
      </c>
      <c r="H950" s="43">
        <v>600</v>
      </c>
      <c r="I950" s="35">
        <v>695</v>
      </c>
      <c r="J950" s="35">
        <v>0</v>
      </c>
      <c r="K950" s="36"/>
      <c r="L950" s="36"/>
      <c r="M950" s="36"/>
      <c r="N950" s="36"/>
      <c r="O950" s="36"/>
      <c r="P950" s="36"/>
      <c r="Q950" s="36"/>
      <c r="R950" s="36"/>
      <c r="S950" s="36"/>
      <c r="T950" s="36"/>
    </row>
    <row r="951" spans="1:20" ht="15.75">
      <c r="A951" s="13">
        <v>70463</v>
      </c>
      <c r="B951" s="44">
        <f t="shared" si="5"/>
        <v>30</v>
      </c>
      <c r="C951" s="35">
        <v>122.58</v>
      </c>
      <c r="D951" s="35">
        <v>297.94099999999997</v>
      </c>
      <c r="E951" s="41">
        <v>729.47900000000004</v>
      </c>
      <c r="F951" s="35">
        <v>1150</v>
      </c>
      <c r="G951" s="35">
        <v>100</v>
      </c>
      <c r="H951" s="43">
        <v>600</v>
      </c>
      <c r="I951" s="35">
        <v>695</v>
      </c>
      <c r="J951" s="35">
        <v>50</v>
      </c>
      <c r="K951" s="36"/>
      <c r="L951" s="36"/>
      <c r="M951" s="36"/>
      <c r="N951" s="36"/>
      <c r="O951" s="36"/>
      <c r="P951" s="36"/>
      <c r="Q951" s="36"/>
      <c r="R951" s="36"/>
      <c r="S951" s="36"/>
      <c r="T951" s="36"/>
    </row>
    <row r="952" spans="1:20" ht="15.75">
      <c r="A952" s="13">
        <v>70494</v>
      </c>
      <c r="B952" s="44">
        <f t="shared" si="5"/>
        <v>31</v>
      </c>
      <c r="C952" s="35">
        <v>122.58</v>
      </c>
      <c r="D952" s="35">
        <v>297.94099999999997</v>
      </c>
      <c r="E952" s="41">
        <v>729.47900000000004</v>
      </c>
      <c r="F952" s="35">
        <v>1150</v>
      </c>
      <c r="G952" s="35">
        <v>100</v>
      </c>
      <c r="H952" s="43">
        <v>600</v>
      </c>
      <c r="I952" s="35">
        <v>695</v>
      </c>
      <c r="J952" s="35">
        <v>50</v>
      </c>
      <c r="K952" s="36"/>
      <c r="L952" s="36"/>
      <c r="M952" s="36"/>
      <c r="N952" s="36"/>
      <c r="O952" s="36"/>
      <c r="P952" s="36"/>
      <c r="Q952" s="36"/>
      <c r="R952" s="36"/>
      <c r="S952" s="36"/>
      <c r="T952" s="36"/>
    </row>
    <row r="953" spans="1:20" ht="15.75">
      <c r="A953" s="13">
        <v>70525</v>
      </c>
      <c r="B953" s="44">
        <f t="shared" si="5"/>
        <v>31</v>
      </c>
      <c r="C953" s="35">
        <v>122.58</v>
      </c>
      <c r="D953" s="35">
        <v>297.94099999999997</v>
      </c>
      <c r="E953" s="41">
        <v>729.47900000000004</v>
      </c>
      <c r="F953" s="35">
        <v>1150</v>
      </c>
      <c r="G953" s="35">
        <v>100</v>
      </c>
      <c r="H953" s="43">
        <v>600</v>
      </c>
      <c r="I953" s="35">
        <v>695</v>
      </c>
      <c r="J953" s="35">
        <v>50</v>
      </c>
      <c r="K953" s="36"/>
      <c r="L953" s="36"/>
      <c r="M953" s="36"/>
      <c r="N953" s="36"/>
      <c r="O953" s="36"/>
      <c r="P953" s="36"/>
      <c r="Q953" s="36"/>
      <c r="R953" s="36"/>
      <c r="S953" s="36"/>
      <c r="T953" s="36"/>
    </row>
    <row r="954" spans="1:20" ht="15.75">
      <c r="A954" s="13">
        <v>70553</v>
      </c>
      <c r="B954" s="44">
        <f t="shared" si="5"/>
        <v>28</v>
      </c>
      <c r="C954" s="35">
        <v>122.58</v>
      </c>
      <c r="D954" s="35">
        <v>297.94099999999997</v>
      </c>
      <c r="E954" s="41">
        <v>729.47900000000004</v>
      </c>
      <c r="F954" s="35">
        <v>1150</v>
      </c>
      <c r="G954" s="35">
        <v>100</v>
      </c>
      <c r="H954" s="43">
        <v>600</v>
      </c>
      <c r="I954" s="35">
        <v>695</v>
      </c>
      <c r="J954" s="35">
        <v>50</v>
      </c>
      <c r="K954" s="36"/>
      <c r="L954" s="36"/>
      <c r="M954" s="36"/>
      <c r="N954" s="36"/>
      <c r="O954" s="36"/>
      <c r="P954" s="36"/>
      <c r="Q954" s="36"/>
      <c r="R954" s="36"/>
      <c r="S954" s="36"/>
      <c r="T954" s="36"/>
    </row>
    <row r="955" spans="1:20" ht="15.75">
      <c r="A955" s="13">
        <v>70584</v>
      </c>
      <c r="B955" s="44">
        <f t="shared" si="5"/>
        <v>31</v>
      </c>
      <c r="C955" s="35">
        <v>122.58</v>
      </c>
      <c r="D955" s="35">
        <v>297.94099999999997</v>
      </c>
      <c r="E955" s="41">
        <v>729.47900000000004</v>
      </c>
      <c r="F955" s="35">
        <v>1150</v>
      </c>
      <c r="G955" s="35">
        <v>100</v>
      </c>
      <c r="H955" s="43">
        <v>600</v>
      </c>
      <c r="I955" s="35">
        <v>695</v>
      </c>
      <c r="J955" s="35">
        <v>50</v>
      </c>
      <c r="K955" s="36"/>
      <c r="L955" s="36"/>
      <c r="M955" s="36"/>
      <c r="N955" s="36"/>
      <c r="O955" s="36"/>
      <c r="P955" s="36"/>
      <c r="Q955" s="36"/>
      <c r="R955" s="36"/>
      <c r="S955" s="36"/>
      <c r="T955" s="36"/>
    </row>
    <row r="956" spans="1:20" ht="15.75">
      <c r="A956" s="13">
        <v>70614</v>
      </c>
      <c r="B956" s="44">
        <f t="shared" si="5"/>
        <v>30</v>
      </c>
      <c r="C956" s="35">
        <v>141.29300000000001</v>
      </c>
      <c r="D956" s="35">
        <v>267.99299999999999</v>
      </c>
      <c r="E956" s="41">
        <v>829.71400000000006</v>
      </c>
      <c r="F956" s="35">
        <v>1239</v>
      </c>
      <c r="G956" s="35">
        <v>100</v>
      </c>
      <c r="H956" s="43">
        <v>600</v>
      </c>
      <c r="I956" s="35">
        <v>695</v>
      </c>
      <c r="J956" s="35">
        <v>50</v>
      </c>
      <c r="K956" s="36"/>
      <c r="L956" s="36"/>
      <c r="M956" s="36"/>
      <c r="N956" s="36"/>
      <c r="O956" s="36"/>
      <c r="P956" s="36"/>
      <c r="Q956" s="36"/>
      <c r="R956" s="36"/>
      <c r="S956" s="36"/>
      <c r="T956" s="36"/>
    </row>
    <row r="957" spans="1:20" ht="15.75">
      <c r="A957" s="13">
        <v>70645</v>
      </c>
      <c r="B957" s="44">
        <f t="shared" si="5"/>
        <v>31</v>
      </c>
      <c r="C957" s="35">
        <v>194.20500000000001</v>
      </c>
      <c r="D957" s="35">
        <v>267.46600000000001</v>
      </c>
      <c r="E957" s="41">
        <v>812.32899999999995</v>
      </c>
      <c r="F957" s="35">
        <v>1274</v>
      </c>
      <c r="G957" s="35">
        <v>75</v>
      </c>
      <c r="H957" s="43">
        <v>600</v>
      </c>
      <c r="I957" s="35">
        <v>695</v>
      </c>
      <c r="J957" s="35">
        <v>50</v>
      </c>
      <c r="K957" s="36"/>
      <c r="L957" s="36"/>
      <c r="M957" s="36"/>
      <c r="N957" s="36"/>
      <c r="O957" s="36"/>
      <c r="P957" s="36"/>
      <c r="Q957" s="36"/>
      <c r="R957" s="36"/>
      <c r="S957" s="36"/>
      <c r="T957" s="36"/>
    </row>
    <row r="958" spans="1:20" ht="15.75">
      <c r="A958" s="13">
        <v>70675</v>
      </c>
      <c r="B958" s="44">
        <f t="shared" si="5"/>
        <v>30</v>
      </c>
      <c r="C958" s="35">
        <v>194.20500000000001</v>
      </c>
      <c r="D958" s="35">
        <v>267.46600000000001</v>
      </c>
      <c r="E958" s="41">
        <v>812.32899999999995</v>
      </c>
      <c r="F958" s="35">
        <v>1274</v>
      </c>
      <c r="G958" s="35">
        <v>50</v>
      </c>
      <c r="H958" s="43">
        <v>600</v>
      </c>
      <c r="I958" s="35">
        <v>695</v>
      </c>
      <c r="J958" s="35">
        <v>50</v>
      </c>
      <c r="K958" s="36"/>
      <c r="L958" s="36"/>
      <c r="M958" s="36"/>
      <c r="N958" s="36"/>
      <c r="O958" s="36"/>
      <c r="P958" s="36"/>
      <c r="Q958" s="36"/>
      <c r="R958" s="36"/>
      <c r="S958" s="36"/>
      <c r="T958" s="36"/>
    </row>
    <row r="959" spans="1:20" ht="15.75">
      <c r="A959" s="13">
        <v>70706</v>
      </c>
      <c r="B959" s="44">
        <f t="shared" si="5"/>
        <v>31</v>
      </c>
      <c r="C959" s="35">
        <v>194.20500000000001</v>
      </c>
      <c r="D959" s="35">
        <v>267.46600000000001</v>
      </c>
      <c r="E959" s="41">
        <v>812.32899999999995</v>
      </c>
      <c r="F959" s="35">
        <v>1274</v>
      </c>
      <c r="G959" s="35">
        <v>50</v>
      </c>
      <c r="H959" s="43">
        <v>600</v>
      </c>
      <c r="I959" s="35">
        <v>695</v>
      </c>
      <c r="J959" s="35">
        <v>0</v>
      </c>
      <c r="K959" s="36"/>
      <c r="L959" s="36"/>
      <c r="M959" s="36"/>
      <c r="N959" s="36"/>
      <c r="O959" s="36"/>
      <c r="P959" s="36"/>
      <c r="Q959" s="36"/>
      <c r="R959" s="36"/>
      <c r="S959" s="36"/>
      <c r="T959" s="36"/>
    </row>
    <row r="960" spans="1:20" ht="15.75">
      <c r="A960" s="13">
        <v>70737</v>
      </c>
      <c r="B960" s="44">
        <f t="shared" si="5"/>
        <v>31</v>
      </c>
      <c r="C960" s="35">
        <v>194.20500000000001</v>
      </c>
      <c r="D960" s="35">
        <v>267.46600000000001</v>
      </c>
      <c r="E960" s="41">
        <v>812.32899999999995</v>
      </c>
      <c r="F960" s="35">
        <v>1274</v>
      </c>
      <c r="G960" s="35">
        <v>50</v>
      </c>
      <c r="H960" s="43">
        <v>600</v>
      </c>
      <c r="I960" s="35">
        <v>695</v>
      </c>
      <c r="J960" s="35">
        <v>0</v>
      </c>
      <c r="K960" s="36"/>
      <c r="L960" s="36"/>
      <c r="M960" s="36"/>
      <c r="N960" s="36"/>
      <c r="O960" s="36"/>
      <c r="P960" s="36"/>
      <c r="Q960" s="36"/>
      <c r="R960" s="36"/>
      <c r="S960" s="36"/>
      <c r="T960" s="36"/>
    </row>
    <row r="961" spans="1:20" ht="15.75">
      <c r="A961" s="13">
        <v>70767</v>
      </c>
      <c r="B961" s="44">
        <f t="shared" si="5"/>
        <v>30</v>
      </c>
      <c r="C961" s="35">
        <v>194.20500000000001</v>
      </c>
      <c r="D961" s="35">
        <v>267.46600000000001</v>
      </c>
      <c r="E961" s="41">
        <v>812.32899999999995</v>
      </c>
      <c r="F961" s="35">
        <v>1274</v>
      </c>
      <c r="G961" s="35">
        <v>50</v>
      </c>
      <c r="H961" s="43">
        <v>600</v>
      </c>
      <c r="I961" s="35">
        <v>695</v>
      </c>
      <c r="J961" s="35">
        <v>0</v>
      </c>
      <c r="K961" s="36"/>
      <c r="L961" s="36"/>
      <c r="M961" s="36"/>
      <c r="N961" s="36"/>
      <c r="O961" s="36"/>
      <c r="P961" s="36"/>
      <c r="Q961" s="36"/>
      <c r="R961" s="36"/>
      <c r="S961" s="36"/>
      <c r="T961" s="36"/>
    </row>
    <row r="962" spans="1:20" ht="15.75">
      <c r="A962" s="13">
        <v>70798</v>
      </c>
      <c r="B962" s="44">
        <f t="shared" si="5"/>
        <v>31</v>
      </c>
      <c r="C962" s="35">
        <v>131.881</v>
      </c>
      <c r="D962" s="35">
        <v>277.16699999999997</v>
      </c>
      <c r="E962" s="41">
        <v>829.952</v>
      </c>
      <c r="F962" s="35">
        <v>1239</v>
      </c>
      <c r="G962" s="35">
        <v>75</v>
      </c>
      <c r="H962" s="43">
        <v>600</v>
      </c>
      <c r="I962" s="35">
        <v>695</v>
      </c>
      <c r="J962" s="35">
        <v>0</v>
      </c>
      <c r="K962" s="36"/>
      <c r="L962" s="36"/>
      <c r="M962" s="36"/>
      <c r="N962" s="36"/>
      <c r="O962" s="36"/>
      <c r="P962" s="36"/>
      <c r="Q962" s="36"/>
      <c r="R962" s="36"/>
      <c r="S962" s="36"/>
      <c r="T962" s="36"/>
    </row>
    <row r="963" spans="1:20" ht="15.75">
      <c r="A963" s="13">
        <v>70828</v>
      </c>
      <c r="B963" s="44">
        <f t="shared" si="5"/>
        <v>30</v>
      </c>
      <c r="C963" s="35">
        <v>122.58</v>
      </c>
      <c r="D963" s="35">
        <v>297.94099999999997</v>
      </c>
      <c r="E963" s="41">
        <v>729.47900000000004</v>
      </c>
      <c r="F963" s="35">
        <v>1150</v>
      </c>
      <c r="G963" s="35">
        <v>100</v>
      </c>
      <c r="H963" s="43">
        <v>600</v>
      </c>
      <c r="I963" s="35">
        <v>695</v>
      </c>
      <c r="J963" s="35">
        <v>50</v>
      </c>
      <c r="K963" s="36"/>
      <c r="L963" s="36"/>
      <c r="M963" s="36"/>
      <c r="N963" s="36"/>
      <c r="O963" s="36"/>
      <c r="P963" s="36"/>
      <c r="Q963" s="36"/>
      <c r="R963" s="36"/>
      <c r="S963" s="36"/>
      <c r="T963" s="36"/>
    </row>
    <row r="964" spans="1:20" ht="15.75">
      <c r="A964" s="13">
        <v>70859</v>
      </c>
      <c r="B964" s="44">
        <f t="shared" si="5"/>
        <v>31</v>
      </c>
      <c r="C964" s="35">
        <v>122.58</v>
      </c>
      <c r="D964" s="35">
        <v>297.94099999999997</v>
      </c>
      <c r="E964" s="41">
        <v>729.47900000000004</v>
      </c>
      <c r="F964" s="35">
        <v>1150</v>
      </c>
      <c r="G964" s="35">
        <v>100</v>
      </c>
      <c r="H964" s="43">
        <v>600</v>
      </c>
      <c r="I964" s="35">
        <v>695</v>
      </c>
      <c r="J964" s="35">
        <v>50</v>
      </c>
      <c r="K964" s="36"/>
      <c r="L964" s="36"/>
      <c r="M964" s="36"/>
      <c r="N964" s="36"/>
      <c r="O964" s="36"/>
      <c r="P964" s="36"/>
      <c r="Q964" s="36"/>
      <c r="R964" s="36"/>
      <c r="S964" s="36"/>
      <c r="T964" s="36"/>
    </row>
    <row r="965" spans="1:20" ht="15.75">
      <c r="A965" s="13">
        <v>70890</v>
      </c>
      <c r="B965" s="44">
        <f t="shared" ref="B965:B1028" si="6">EOMONTH(A965,0)-EOMONTH(A965,-1)</f>
        <v>31</v>
      </c>
      <c r="C965" s="35">
        <v>122.58</v>
      </c>
      <c r="D965" s="35">
        <v>297.94099999999997</v>
      </c>
      <c r="E965" s="41">
        <v>729.47900000000004</v>
      </c>
      <c r="F965" s="35">
        <v>1150</v>
      </c>
      <c r="G965" s="35">
        <v>100</v>
      </c>
      <c r="H965" s="43">
        <v>600</v>
      </c>
      <c r="I965" s="35">
        <v>695</v>
      </c>
      <c r="J965" s="35">
        <v>50</v>
      </c>
      <c r="K965" s="36"/>
      <c r="L965" s="36"/>
      <c r="M965" s="36"/>
      <c r="N965" s="36"/>
      <c r="O965" s="36"/>
      <c r="P965" s="36"/>
      <c r="Q965" s="36"/>
      <c r="R965" s="36"/>
      <c r="S965" s="36"/>
      <c r="T965" s="36"/>
    </row>
    <row r="966" spans="1:20" ht="15.75">
      <c r="A966" s="13">
        <v>70918</v>
      </c>
      <c r="B966" s="44">
        <f t="shared" si="6"/>
        <v>28</v>
      </c>
      <c r="C966" s="35">
        <v>122.58</v>
      </c>
      <c r="D966" s="35">
        <v>297.94099999999997</v>
      </c>
      <c r="E966" s="41">
        <v>729.47900000000004</v>
      </c>
      <c r="F966" s="35">
        <v>1150</v>
      </c>
      <c r="G966" s="35">
        <v>100</v>
      </c>
      <c r="H966" s="43">
        <v>600</v>
      </c>
      <c r="I966" s="35">
        <v>695</v>
      </c>
      <c r="J966" s="35">
        <v>50</v>
      </c>
      <c r="K966" s="36"/>
      <c r="L966" s="36"/>
      <c r="M966" s="36"/>
      <c r="N966" s="36"/>
      <c r="O966" s="36"/>
      <c r="P966" s="36"/>
      <c r="Q966" s="36"/>
      <c r="R966" s="36"/>
      <c r="S966" s="36"/>
      <c r="T966" s="36"/>
    </row>
    <row r="967" spans="1:20" ht="15.75">
      <c r="A967" s="13">
        <v>70949</v>
      </c>
      <c r="B967" s="44">
        <f t="shared" si="6"/>
        <v>31</v>
      </c>
      <c r="C967" s="35">
        <v>122.58</v>
      </c>
      <c r="D967" s="35">
        <v>297.94099999999997</v>
      </c>
      <c r="E967" s="41">
        <v>729.47900000000004</v>
      </c>
      <c r="F967" s="35">
        <v>1150</v>
      </c>
      <c r="G967" s="35">
        <v>100</v>
      </c>
      <c r="H967" s="43">
        <v>600</v>
      </c>
      <c r="I967" s="35">
        <v>695</v>
      </c>
      <c r="J967" s="35">
        <v>50</v>
      </c>
      <c r="K967" s="36"/>
      <c r="L967" s="36"/>
      <c r="M967" s="36"/>
      <c r="N967" s="36"/>
      <c r="O967" s="36"/>
      <c r="P967" s="36"/>
      <c r="Q967" s="36"/>
      <c r="R967" s="36"/>
      <c r="S967" s="36"/>
      <c r="T967" s="36"/>
    </row>
    <row r="968" spans="1:20" ht="15.75">
      <c r="A968" s="13">
        <v>70979</v>
      </c>
      <c r="B968" s="44">
        <f t="shared" si="6"/>
        <v>30</v>
      </c>
      <c r="C968" s="35">
        <v>141.29300000000001</v>
      </c>
      <c r="D968" s="35">
        <v>267.99299999999999</v>
      </c>
      <c r="E968" s="41">
        <v>829.71400000000006</v>
      </c>
      <c r="F968" s="35">
        <v>1239</v>
      </c>
      <c r="G968" s="35">
        <v>100</v>
      </c>
      <c r="H968" s="43">
        <v>600</v>
      </c>
      <c r="I968" s="35">
        <v>695</v>
      </c>
      <c r="J968" s="35">
        <v>50</v>
      </c>
      <c r="K968" s="36"/>
      <c r="L968" s="36"/>
      <c r="M968" s="36"/>
      <c r="N968" s="36"/>
      <c r="O968" s="36"/>
      <c r="P968" s="36"/>
      <c r="Q968" s="36"/>
      <c r="R968" s="36"/>
      <c r="S968" s="36"/>
      <c r="T968" s="36"/>
    </row>
    <row r="969" spans="1:20" ht="15.75">
      <c r="A969" s="13">
        <v>71010</v>
      </c>
      <c r="B969" s="44">
        <f t="shared" si="6"/>
        <v>31</v>
      </c>
      <c r="C969" s="35">
        <v>194.20500000000001</v>
      </c>
      <c r="D969" s="35">
        <v>267.46600000000001</v>
      </c>
      <c r="E969" s="41">
        <v>812.32899999999995</v>
      </c>
      <c r="F969" s="35">
        <v>1274</v>
      </c>
      <c r="G969" s="35">
        <v>75</v>
      </c>
      <c r="H969" s="43">
        <v>600</v>
      </c>
      <c r="I969" s="35">
        <v>695</v>
      </c>
      <c r="J969" s="35">
        <v>50</v>
      </c>
      <c r="K969" s="36"/>
      <c r="L969" s="36"/>
      <c r="M969" s="36"/>
      <c r="N969" s="36"/>
      <c r="O969" s="36"/>
      <c r="P969" s="36"/>
      <c r="Q969" s="36"/>
      <c r="R969" s="36"/>
      <c r="S969" s="36"/>
      <c r="T969" s="36"/>
    </row>
    <row r="970" spans="1:20" ht="15.75">
      <c r="A970" s="13">
        <v>71040</v>
      </c>
      <c r="B970" s="44">
        <f t="shared" si="6"/>
        <v>30</v>
      </c>
      <c r="C970" s="35">
        <v>194.20500000000001</v>
      </c>
      <c r="D970" s="35">
        <v>267.46600000000001</v>
      </c>
      <c r="E970" s="41">
        <v>812.32899999999995</v>
      </c>
      <c r="F970" s="35">
        <v>1274</v>
      </c>
      <c r="G970" s="35">
        <v>50</v>
      </c>
      <c r="H970" s="43">
        <v>600</v>
      </c>
      <c r="I970" s="35">
        <v>695</v>
      </c>
      <c r="J970" s="35">
        <v>50</v>
      </c>
      <c r="K970" s="36"/>
      <c r="L970" s="36"/>
      <c r="M970" s="36"/>
      <c r="N970" s="36"/>
      <c r="O970" s="36"/>
      <c r="P970" s="36"/>
      <c r="Q970" s="36"/>
      <c r="R970" s="36"/>
      <c r="S970" s="36"/>
      <c r="T970" s="36"/>
    </row>
    <row r="971" spans="1:20" ht="15.75">
      <c r="A971" s="13">
        <v>71071</v>
      </c>
      <c r="B971" s="44">
        <f t="shared" si="6"/>
        <v>31</v>
      </c>
      <c r="C971" s="35">
        <v>194.20500000000001</v>
      </c>
      <c r="D971" s="35">
        <v>267.46600000000001</v>
      </c>
      <c r="E971" s="41">
        <v>812.32899999999995</v>
      </c>
      <c r="F971" s="35">
        <v>1274</v>
      </c>
      <c r="G971" s="35">
        <v>50</v>
      </c>
      <c r="H971" s="43">
        <v>600</v>
      </c>
      <c r="I971" s="35">
        <v>695</v>
      </c>
      <c r="J971" s="35">
        <v>0</v>
      </c>
      <c r="K971" s="36"/>
      <c r="L971" s="36"/>
      <c r="M971" s="36"/>
      <c r="N971" s="36"/>
      <c r="O971" s="36"/>
      <c r="P971" s="36"/>
      <c r="Q971" s="36"/>
      <c r="R971" s="36"/>
      <c r="S971" s="36"/>
      <c r="T971" s="36"/>
    </row>
    <row r="972" spans="1:20" ht="15.75">
      <c r="A972" s="13">
        <v>71102</v>
      </c>
      <c r="B972" s="44">
        <f t="shared" si="6"/>
        <v>31</v>
      </c>
      <c r="C972" s="35">
        <v>194.20500000000001</v>
      </c>
      <c r="D972" s="35">
        <v>267.46600000000001</v>
      </c>
      <c r="E972" s="41">
        <v>812.32899999999995</v>
      </c>
      <c r="F972" s="35">
        <v>1274</v>
      </c>
      <c r="G972" s="35">
        <v>50</v>
      </c>
      <c r="H972" s="43">
        <v>600</v>
      </c>
      <c r="I972" s="35">
        <v>695</v>
      </c>
      <c r="J972" s="35">
        <v>0</v>
      </c>
      <c r="K972" s="36"/>
      <c r="L972" s="36"/>
      <c r="M972" s="36"/>
      <c r="N972" s="36"/>
      <c r="O972" s="36"/>
      <c r="P972" s="36"/>
      <c r="Q972" s="36"/>
      <c r="R972" s="36"/>
      <c r="S972" s="36"/>
      <c r="T972" s="36"/>
    </row>
    <row r="973" spans="1:20" ht="15.75">
      <c r="A973" s="13">
        <v>71132</v>
      </c>
      <c r="B973" s="44">
        <f t="shared" si="6"/>
        <v>30</v>
      </c>
      <c r="C973" s="35">
        <v>194.20500000000001</v>
      </c>
      <c r="D973" s="35">
        <v>267.46600000000001</v>
      </c>
      <c r="E973" s="41">
        <v>812.32899999999995</v>
      </c>
      <c r="F973" s="35">
        <v>1274</v>
      </c>
      <c r="G973" s="35">
        <v>50</v>
      </c>
      <c r="H973" s="43">
        <v>600</v>
      </c>
      <c r="I973" s="35">
        <v>695</v>
      </c>
      <c r="J973" s="35">
        <v>0</v>
      </c>
      <c r="K973" s="36"/>
      <c r="L973" s="36"/>
      <c r="M973" s="36"/>
      <c r="N973" s="36"/>
      <c r="O973" s="36"/>
      <c r="P973" s="36"/>
      <c r="Q973" s="36"/>
      <c r="R973" s="36"/>
      <c r="S973" s="36"/>
      <c r="T973" s="36"/>
    </row>
    <row r="974" spans="1:20" ht="15.75">
      <c r="A974" s="13">
        <v>71163</v>
      </c>
      <c r="B974" s="44">
        <f t="shared" si="6"/>
        <v>31</v>
      </c>
      <c r="C974" s="35">
        <v>131.881</v>
      </c>
      <c r="D974" s="35">
        <v>277.16699999999997</v>
      </c>
      <c r="E974" s="41">
        <v>829.952</v>
      </c>
      <c r="F974" s="35">
        <v>1239</v>
      </c>
      <c r="G974" s="35">
        <v>75</v>
      </c>
      <c r="H974" s="43">
        <v>600</v>
      </c>
      <c r="I974" s="35">
        <v>695</v>
      </c>
      <c r="J974" s="35">
        <v>0</v>
      </c>
      <c r="K974" s="36"/>
      <c r="L974" s="36"/>
      <c r="M974" s="36"/>
      <c r="N974" s="36"/>
      <c r="O974" s="36"/>
      <c r="P974" s="36"/>
      <c r="Q974" s="36"/>
      <c r="R974" s="36"/>
      <c r="S974" s="36"/>
      <c r="T974" s="36"/>
    </row>
    <row r="975" spans="1:20" ht="15.75">
      <c r="A975" s="13">
        <v>71193</v>
      </c>
      <c r="B975" s="44">
        <f t="shared" si="6"/>
        <v>30</v>
      </c>
      <c r="C975" s="35">
        <v>122.58</v>
      </c>
      <c r="D975" s="35">
        <v>297.94099999999997</v>
      </c>
      <c r="E975" s="41">
        <v>729.47900000000004</v>
      </c>
      <c r="F975" s="35">
        <v>1150</v>
      </c>
      <c r="G975" s="35">
        <v>100</v>
      </c>
      <c r="H975" s="43">
        <v>600</v>
      </c>
      <c r="I975" s="35">
        <v>695</v>
      </c>
      <c r="J975" s="35">
        <v>50</v>
      </c>
      <c r="K975" s="36"/>
      <c r="L975" s="36"/>
      <c r="M975" s="36"/>
      <c r="N975" s="36"/>
      <c r="O975" s="36"/>
      <c r="P975" s="36"/>
      <c r="Q975" s="36"/>
      <c r="R975" s="36"/>
      <c r="S975" s="36"/>
      <c r="T975" s="36"/>
    </row>
    <row r="976" spans="1:20" ht="15.75">
      <c r="A976" s="13">
        <v>71224</v>
      </c>
      <c r="B976" s="44">
        <f t="shared" si="6"/>
        <v>31</v>
      </c>
      <c r="C976" s="35">
        <v>122.58</v>
      </c>
      <c r="D976" s="35">
        <v>297.94099999999997</v>
      </c>
      <c r="E976" s="41">
        <v>729.47900000000004</v>
      </c>
      <c r="F976" s="35">
        <v>1150</v>
      </c>
      <c r="G976" s="35">
        <v>100</v>
      </c>
      <c r="H976" s="43">
        <v>600</v>
      </c>
      <c r="I976" s="35">
        <v>695</v>
      </c>
      <c r="J976" s="35">
        <v>50</v>
      </c>
      <c r="K976" s="36"/>
      <c r="L976" s="36"/>
      <c r="M976" s="36"/>
      <c r="N976" s="36"/>
      <c r="O976" s="36"/>
      <c r="P976" s="36"/>
      <c r="Q976" s="36"/>
      <c r="R976" s="36"/>
      <c r="S976" s="36"/>
      <c r="T976" s="36"/>
    </row>
    <row r="977" spans="1:20" ht="15.75">
      <c r="A977" s="13">
        <v>71255</v>
      </c>
      <c r="B977" s="44">
        <f t="shared" si="6"/>
        <v>31</v>
      </c>
      <c r="C977" s="35">
        <v>122.58</v>
      </c>
      <c r="D977" s="35">
        <v>297.94099999999997</v>
      </c>
      <c r="E977" s="41">
        <v>729.47900000000004</v>
      </c>
      <c r="F977" s="35">
        <v>1150</v>
      </c>
      <c r="G977" s="35">
        <v>100</v>
      </c>
      <c r="H977" s="43">
        <v>600</v>
      </c>
      <c r="I977" s="35">
        <v>695</v>
      </c>
      <c r="J977" s="35">
        <v>50</v>
      </c>
      <c r="K977" s="36"/>
      <c r="L977" s="36"/>
      <c r="M977" s="36"/>
      <c r="N977" s="36"/>
      <c r="O977" s="36"/>
      <c r="P977" s="36"/>
      <c r="Q977" s="36"/>
      <c r="R977" s="36"/>
      <c r="S977" s="36"/>
      <c r="T977" s="36"/>
    </row>
    <row r="978" spans="1:20" ht="15.75">
      <c r="A978" s="13">
        <v>71283</v>
      </c>
      <c r="B978" s="44">
        <f t="shared" si="6"/>
        <v>28</v>
      </c>
      <c r="C978" s="35">
        <v>122.58</v>
      </c>
      <c r="D978" s="35">
        <v>297.94099999999997</v>
      </c>
      <c r="E978" s="41">
        <v>729.47900000000004</v>
      </c>
      <c r="F978" s="35">
        <v>1150</v>
      </c>
      <c r="G978" s="35">
        <v>100</v>
      </c>
      <c r="H978" s="43">
        <v>600</v>
      </c>
      <c r="I978" s="35">
        <v>695</v>
      </c>
      <c r="J978" s="35">
        <v>50</v>
      </c>
      <c r="K978" s="36"/>
      <c r="L978" s="36"/>
      <c r="M978" s="36"/>
      <c r="N978" s="36"/>
      <c r="O978" s="36"/>
      <c r="P978" s="36"/>
      <c r="Q978" s="36"/>
      <c r="R978" s="36"/>
      <c r="S978" s="36"/>
      <c r="T978" s="36"/>
    </row>
    <row r="979" spans="1:20" ht="15.75">
      <c r="A979" s="13">
        <v>71314</v>
      </c>
      <c r="B979" s="44">
        <f t="shared" si="6"/>
        <v>31</v>
      </c>
      <c r="C979" s="35">
        <v>122.58</v>
      </c>
      <c r="D979" s="35">
        <v>297.94099999999997</v>
      </c>
      <c r="E979" s="41">
        <v>729.47900000000004</v>
      </c>
      <c r="F979" s="35">
        <v>1150</v>
      </c>
      <c r="G979" s="35">
        <v>100</v>
      </c>
      <c r="H979" s="43">
        <v>600</v>
      </c>
      <c r="I979" s="35">
        <v>695</v>
      </c>
      <c r="J979" s="35">
        <v>50</v>
      </c>
      <c r="K979" s="36"/>
      <c r="L979" s="36"/>
      <c r="M979" s="36"/>
      <c r="N979" s="36"/>
      <c r="O979" s="36"/>
      <c r="P979" s="36"/>
      <c r="Q979" s="36"/>
      <c r="R979" s="36"/>
      <c r="S979" s="36"/>
      <c r="T979" s="36"/>
    </row>
    <row r="980" spans="1:20" ht="15.75">
      <c r="A980" s="13">
        <v>71344</v>
      </c>
      <c r="B980" s="44">
        <f t="shared" si="6"/>
        <v>30</v>
      </c>
      <c r="C980" s="35">
        <v>141.29300000000001</v>
      </c>
      <c r="D980" s="35">
        <v>267.99299999999999</v>
      </c>
      <c r="E980" s="41">
        <v>829.71400000000006</v>
      </c>
      <c r="F980" s="35">
        <v>1239</v>
      </c>
      <c r="G980" s="35">
        <v>100</v>
      </c>
      <c r="H980" s="43">
        <v>600</v>
      </c>
      <c r="I980" s="35">
        <v>695</v>
      </c>
      <c r="J980" s="35">
        <v>50</v>
      </c>
      <c r="K980" s="36"/>
      <c r="L980" s="36"/>
      <c r="M980" s="36"/>
      <c r="N980" s="36"/>
      <c r="O980" s="36"/>
      <c r="P980" s="36"/>
      <c r="Q980" s="36"/>
      <c r="R980" s="36"/>
      <c r="S980" s="36"/>
      <c r="T980" s="36"/>
    </row>
    <row r="981" spans="1:20" ht="15.75">
      <c r="A981" s="13">
        <v>71375</v>
      </c>
      <c r="B981" s="44">
        <f t="shared" si="6"/>
        <v>31</v>
      </c>
      <c r="C981" s="35">
        <v>194.20500000000001</v>
      </c>
      <c r="D981" s="35">
        <v>267.46600000000001</v>
      </c>
      <c r="E981" s="41">
        <v>812.32899999999995</v>
      </c>
      <c r="F981" s="35">
        <v>1274</v>
      </c>
      <c r="G981" s="35">
        <v>75</v>
      </c>
      <c r="H981" s="43">
        <v>600</v>
      </c>
      <c r="I981" s="35">
        <v>695</v>
      </c>
      <c r="J981" s="35">
        <v>50</v>
      </c>
      <c r="K981" s="36"/>
      <c r="L981" s="36"/>
      <c r="M981" s="36"/>
      <c r="N981" s="36"/>
      <c r="O981" s="36"/>
      <c r="P981" s="36"/>
      <c r="Q981" s="36"/>
      <c r="R981" s="36"/>
      <c r="S981" s="36"/>
      <c r="T981" s="36"/>
    </row>
    <row r="982" spans="1:20" ht="15.75">
      <c r="A982" s="13">
        <v>71405</v>
      </c>
      <c r="B982" s="44">
        <f t="shared" si="6"/>
        <v>30</v>
      </c>
      <c r="C982" s="35">
        <v>194.20500000000001</v>
      </c>
      <c r="D982" s="35">
        <v>267.46600000000001</v>
      </c>
      <c r="E982" s="41">
        <v>812.32899999999995</v>
      </c>
      <c r="F982" s="35">
        <v>1274</v>
      </c>
      <c r="G982" s="35">
        <v>50</v>
      </c>
      <c r="H982" s="43">
        <v>600</v>
      </c>
      <c r="I982" s="35">
        <v>695</v>
      </c>
      <c r="J982" s="35">
        <v>50</v>
      </c>
      <c r="K982" s="36"/>
      <c r="L982" s="36"/>
      <c r="M982" s="36"/>
      <c r="N982" s="36"/>
      <c r="O982" s="36"/>
      <c r="P982" s="36"/>
      <c r="Q982" s="36"/>
      <c r="R982" s="36"/>
      <c r="S982" s="36"/>
      <c r="T982" s="36"/>
    </row>
    <row r="983" spans="1:20" ht="15.75">
      <c r="A983" s="13">
        <v>71436</v>
      </c>
      <c r="B983" s="44">
        <f t="shared" si="6"/>
        <v>31</v>
      </c>
      <c r="C983" s="35">
        <v>194.20500000000001</v>
      </c>
      <c r="D983" s="35">
        <v>267.46600000000001</v>
      </c>
      <c r="E983" s="41">
        <v>812.32899999999995</v>
      </c>
      <c r="F983" s="35">
        <v>1274</v>
      </c>
      <c r="G983" s="35">
        <v>50</v>
      </c>
      <c r="H983" s="43">
        <v>600</v>
      </c>
      <c r="I983" s="35">
        <v>695</v>
      </c>
      <c r="J983" s="35">
        <v>0</v>
      </c>
      <c r="K983" s="36"/>
      <c r="L983" s="36"/>
      <c r="M983" s="36"/>
      <c r="N983" s="36"/>
      <c r="O983" s="36"/>
      <c r="P983" s="36"/>
      <c r="Q983" s="36"/>
      <c r="R983" s="36"/>
      <c r="S983" s="36"/>
      <c r="T983" s="36"/>
    </row>
    <row r="984" spans="1:20" ht="15.75">
      <c r="A984" s="13">
        <v>71467</v>
      </c>
      <c r="B984" s="44">
        <f t="shared" si="6"/>
        <v>31</v>
      </c>
      <c r="C984" s="35">
        <v>194.20500000000001</v>
      </c>
      <c r="D984" s="35">
        <v>267.46600000000001</v>
      </c>
      <c r="E984" s="41">
        <v>812.32899999999995</v>
      </c>
      <c r="F984" s="35">
        <v>1274</v>
      </c>
      <c r="G984" s="35">
        <v>50</v>
      </c>
      <c r="H984" s="43">
        <v>600</v>
      </c>
      <c r="I984" s="35">
        <v>695</v>
      </c>
      <c r="J984" s="35">
        <v>0</v>
      </c>
      <c r="K984" s="36"/>
      <c r="L984" s="36"/>
      <c r="M984" s="36"/>
      <c r="N984" s="36"/>
      <c r="O984" s="36"/>
      <c r="P984" s="36"/>
      <c r="Q984" s="36"/>
      <c r="R984" s="36"/>
      <c r="S984" s="36"/>
      <c r="T984" s="36"/>
    </row>
    <row r="985" spans="1:20" ht="15.75">
      <c r="A985" s="13">
        <v>71497</v>
      </c>
      <c r="B985" s="44">
        <f t="shared" si="6"/>
        <v>30</v>
      </c>
      <c r="C985" s="35">
        <v>194.20500000000001</v>
      </c>
      <c r="D985" s="35">
        <v>267.46600000000001</v>
      </c>
      <c r="E985" s="41">
        <v>812.32899999999995</v>
      </c>
      <c r="F985" s="35">
        <v>1274</v>
      </c>
      <c r="G985" s="35">
        <v>50</v>
      </c>
      <c r="H985" s="43">
        <v>600</v>
      </c>
      <c r="I985" s="35">
        <v>695</v>
      </c>
      <c r="J985" s="35">
        <v>0</v>
      </c>
      <c r="K985" s="36"/>
      <c r="L985" s="36"/>
      <c r="M985" s="36"/>
      <c r="N985" s="36"/>
      <c r="O985" s="36"/>
      <c r="P985" s="36"/>
      <c r="Q985" s="36"/>
      <c r="R985" s="36"/>
      <c r="S985" s="36"/>
      <c r="T985" s="36"/>
    </row>
    <row r="986" spans="1:20" ht="15.75">
      <c r="A986" s="13">
        <v>71528</v>
      </c>
      <c r="B986" s="44">
        <f t="shared" si="6"/>
        <v>31</v>
      </c>
      <c r="C986" s="35">
        <v>131.881</v>
      </c>
      <c r="D986" s="35">
        <v>277.16699999999997</v>
      </c>
      <c r="E986" s="41">
        <v>829.952</v>
      </c>
      <c r="F986" s="35">
        <v>1239</v>
      </c>
      <c r="G986" s="35">
        <v>75</v>
      </c>
      <c r="H986" s="43">
        <v>600</v>
      </c>
      <c r="I986" s="35">
        <v>695</v>
      </c>
      <c r="J986" s="35">
        <v>0</v>
      </c>
      <c r="K986" s="36"/>
      <c r="L986" s="36"/>
      <c r="M986" s="36"/>
      <c r="N986" s="36"/>
      <c r="O986" s="36"/>
      <c r="P986" s="36"/>
      <c r="Q986" s="36"/>
      <c r="R986" s="36"/>
      <c r="S986" s="36"/>
      <c r="T986" s="36"/>
    </row>
    <row r="987" spans="1:20" ht="15.75">
      <c r="A987" s="13">
        <v>71558</v>
      </c>
      <c r="B987" s="44">
        <f t="shared" si="6"/>
        <v>30</v>
      </c>
      <c r="C987" s="35">
        <v>122.58</v>
      </c>
      <c r="D987" s="35">
        <v>297.94099999999997</v>
      </c>
      <c r="E987" s="41">
        <v>729.47900000000004</v>
      </c>
      <c r="F987" s="35">
        <v>1150</v>
      </c>
      <c r="G987" s="35">
        <v>100</v>
      </c>
      <c r="H987" s="43">
        <v>600</v>
      </c>
      <c r="I987" s="35">
        <v>695</v>
      </c>
      <c r="J987" s="35">
        <v>50</v>
      </c>
      <c r="K987" s="36"/>
      <c r="L987" s="36"/>
      <c r="M987" s="36"/>
      <c r="N987" s="36"/>
      <c r="O987" s="36"/>
      <c r="P987" s="36"/>
      <c r="Q987" s="36"/>
      <c r="R987" s="36"/>
      <c r="S987" s="36"/>
      <c r="T987" s="36"/>
    </row>
    <row r="988" spans="1:20" ht="15.75">
      <c r="A988" s="13">
        <v>71589</v>
      </c>
      <c r="B988" s="44">
        <f t="shared" si="6"/>
        <v>31</v>
      </c>
      <c r="C988" s="35">
        <v>122.58</v>
      </c>
      <c r="D988" s="35">
        <v>297.94099999999997</v>
      </c>
      <c r="E988" s="41">
        <v>729.47900000000004</v>
      </c>
      <c r="F988" s="35">
        <v>1150</v>
      </c>
      <c r="G988" s="35">
        <v>100</v>
      </c>
      <c r="H988" s="43">
        <v>600</v>
      </c>
      <c r="I988" s="35">
        <v>695</v>
      </c>
      <c r="J988" s="35">
        <v>50</v>
      </c>
      <c r="K988" s="36"/>
      <c r="L988" s="36"/>
      <c r="M988" s="36"/>
      <c r="N988" s="36"/>
      <c r="O988" s="36"/>
      <c r="P988" s="36"/>
      <c r="Q988" s="36"/>
      <c r="R988" s="36"/>
      <c r="S988" s="36"/>
      <c r="T988" s="36"/>
    </row>
    <row r="989" spans="1:20" ht="15.75">
      <c r="A989" s="13">
        <v>71620</v>
      </c>
      <c r="B989" s="44">
        <f t="shared" si="6"/>
        <v>31</v>
      </c>
      <c r="C989" s="35">
        <v>122.58</v>
      </c>
      <c r="D989" s="35">
        <v>297.94099999999997</v>
      </c>
      <c r="E989" s="41">
        <v>729.47900000000004</v>
      </c>
      <c r="F989" s="35">
        <v>1150</v>
      </c>
      <c r="G989" s="35">
        <v>100</v>
      </c>
      <c r="H989" s="43">
        <v>600</v>
      </c>
      <c r="I989" s="35">
        <v>695</v>
      </c>
      <c r="J989" s="35">
        <v>50</v>
      </c>
      <c r="K989" s="36"/>
      <c r="L989" s="36"/>
      <c r="M989" s="36"/>
      <c r="N989" s="36"/>
      <c r="O989" s="36"/>
      <c r="P989" s="36"/>
      <c r="Q989" s="36"/>
      <c r="R989" s="36"/>
      <c r="S989" s="36"/>
      <c r="T989" s="36"/>
    </row>
    <row r="990" spans="1:20" ht="15.75">
      <c r="A990" s="13">
        <v>71649</v>
      </c>
      <c r="B990" s="44">
        <f t="shared" si="6"/>
        <v>29</v>
      </c>
      <c r="C990" s="35">
        <v>122.58</v>
      </c>
      <c r="D990" s="35">
        <v>297.94099999999997</v>
      </c>
      <c r="E990" s="41">
        <v>729.47900000000004</v>
      </c>
      <c r="F990" s="35">
        <v>1150</v>
      </c>
      <c r="G990" s="35">
        <v>100</v>
      </c>
      <c r="H990" s="43">
        <v>600</v>
      </c>
      <c r="I990" s="35">
        <v>695</v>
      </c>
      <c r="J990" s="35">
        <v>50</v>
      </c>
      <c r="K990" s="36"/>
      <c r="L990" s="36"/>
      <c r="M990" s="36"/>
      <c r="N990" s="36"/>
      <c r="O990" s="36"/>
      <c r="P990" s="36"/>
      <c r="Q990" s="36"/>
      <c r="R990" s="36"/>
      <c r="S990" s="36"/>
      <c r="T990" s="36"/>
    </row>
    <row r="991" spans="1:20" ht="15.75">
      <c r="A991" s="13">
        <v>71680</v>
      </c>
      <c r="B991" s="44">
        <f t="shared" si="6"/>
        <v>31</v>
      </c>
      <c r="C991" s="35">
        <v>122.58</v>
      </c>
      <c r="D991" s="35">
        <v>297.94099999999997</v>
      </c>
      <c r="E991" s="41">
        <v>729.47900000000004</v>
      </c>
      <c r="F991" s="35">
        <v>1150</v>
      </c>
      <c r="G991" s="35">
        <v>100</v>
      </c>
      <c r="H991" s="43">
        <v>600</v>
      </c>
      <c r="I991" s="35">
        <v>695</v>
      </c>
      <c r="J991" s="35">
        <v>50</v>
      </c>
      <c r="K991" s="36"/>
      <c r="L991" s="36"/>
      <c r="M991" s="36"/>
      <c r="N991" s="36"/>
      <c r="O991" s="36"/>
      <c r="P991" s="36"/>
      <c r="Q991" s="36"/>
      <c r="R991" s="36"/>
      <c r="S991" s="36"/>
      <c r="T991" s="36"/>
    </row>
    <row r="992" spans="1:20" ht="15.75">
      <c r="A992" s="13">
        <v>71710</v>
      </c>
      <c r="B992" s="44">
        <f t="shared" si="6"/>
        <v>30</v>
      </c>
      <c r="C992" s="35">
        <v>141.29300000000001</v>
      </c>
      <c r="D992" s="35">
        <v>267.99299999999999</v>
      </c>
      <c r="E992" s="41">
        <v>829.71400000000006</v>
      </c>
      <c r="F992" s="35">
        <v>1239</v>
      </c>
      <c r="G992" s="35">
        <v>100</v>
      </c>
      <c r="H992" s="43">
        <v>600</v>
      </c>
      <c r="I992" s="35">
        <v>695</v>
      </c>
      <c r="J992" s="35">
        <v>50</v>
      </c>
      <c r="K992" s="36"/>
      <c r="L992" s="36"/>
      <c r="M992" s="36"/>
      <c r="N992" s="36"/>
      <c r="O992" s="36"/>
      <c r="P992" s="36"/>
      <c r="Q992" s="36"/>
      <c r="R992" s="36"/>
      <c r="S992" s="36"/>
      <c r="T992" s="36"/>
    </row>
    <row r="993" spans="1:20" ht="15.75">
      <c r="A993" s="13">
        <v>71741</v>
      </c>
      <c r="B993" s="44">
        <f t="shared" si="6"/>
        <v>31</v>
      </c>
      <c r="C993" s="35">
        <v>194.20500000000001</v>
      </c>
      <c r="D993" s="35">
        <v>267.46600000000001</v>
      </c>
      <c r="E993" s="41">
        <v>812.32899999999995</v>
      </c>
      <c r="F993" s="35">
        <v>1274</v>
      </c>
      <c r="G993" s="35">
        <v>75</v>
      </c>
      <c r="H993" s="43">
        <v>600</v>
      </c>
      <c r="I993" s="35">
        <v>695</v>
      </c>
      <c r="J993" s="35">
        <v>50</v>
      </c>
      <c r="K993" s="36"/>
      <c r="L993" s="36"/>
      <c r="M993" s="36"/>
      <c r="N993" s="36"/>
      <c r="O993" s="36"/>
      <c r="P993" s="36"/>
      <c r="Q993" s="36"/>
      <c r="R993" s="36"/>
      <c r="S993" s="36"/>
      <c r="T993" s="36"/>
    </row>
    <row r="994" spans="1:20" ht="15.75">
      <c r="A994" s="13">
        <v>71771</v>
      </c>
      <c r="B994" s="44">
        <f t="shared" si="6"/>
        <v>30</v>
      </c>
      <c r="C994" s="35">
        <v>194.20500000000001</v>
      </c>
      <c r="D994" s="35">
        <v>267.46600000000001</v>
      </c>
      <c r="E994" s="41">
        <v>812.32899999999995</v>
      </c>
      <c r="F994" s="35">
        <v>1274</v>
      </c>
      <c r="G994" s="35">
        <v>50</v>
      </c>
      <c r="H994" s="43">
        <v>600</v>
      </c>
      <c r="I994" s="35">
        <v>695</v>
      </c>
      <c r="J994" s="35">
        <v>50</v>
      </c>
      <c r="K994" s="36"/>
      <c r="L994" s="36"/>
      <c r="M994" s="36"/>
      <c r="N994" s="36"/>
      <c r="O994" s="36"/>
      <c r="P994" s="36"/>
      <c r="Q994" s="36"/>
      <c r="R994" s="36"/>
      <c r="S994" s="36"/>
      <c r="T994" s="36"/>
    </row>
    <row r="995" spans="1:20" ht="15.75">
      <c r="A995" s="13">
        <v>71802</v>
      </c>
      <c r="B995" s="44">
        <f t="shared" si="6"/>
        <v>31</v>
      </c>
      <c r="C995" s="35">
        <v>194.20500000000001</v>
      </c>
      <c r="D995" s="35">
        <v>267.46600000000001</v>
      </c>
      <c r="E995" s="41">
        <v>812.32899999999995</v>
      </c>
      <c r="F995" s="35">
        <v>1274</v>
      </c>
      <c r="G995" s="35">
        <v>50</v>
      </c>
      <c r="H995" s="43">
        <v>600</v>
      </c>
      <c r="I995" s="35">
        <v>695</v>
      </c>
      <c r="J995" s="35">
        <v>0</v>
      </c>
      <c r="K995" s="36"/>
      <c r="L995" s="36"/>
      <c r="M995" s="36"/>
      <c r="N995" s="36"/>
      <c r="O995" s="36"/>
      <c r="P995" s="36"/>
      <c r="Q995" s="36"/>
      <c r="R995" s="36"/>
      <c r="S995" s="36"/>
      <c r="T995" s="36"/>
    </row>
    <row r="996" spans="1:20" ht="15.75">
      <c r="A996" s="13">
        <v>71833</v>
      </c>
      <c r="B996" s="44">
        <f t="shared" si="6"/>
        <v>31</v>
      </c>
      <c r="C996" s="35">
        <v>194.20500000000001</v>
      </c>
      <c r="D996" s="35">
        <v>267.46600000000001</v>
      </c>
      <c r="E996" s="41">
        <v>812.32899999999995</v>
      </c>
      <c r="F996" s="35">
        <v>1274</v>
      </c>
      <c r="G996" s="35">
        <v>50</v>
      </c>
      <c r="H996" s="43">
        <v>600</v>
      </c>
      <c r="I996" s="35">
        <v>695</v>
      </c>
      <c r="J996" s="35">
        <v>0</v>
      </c>
      <c r="K996" s="36"/>
      <c r="L996" s="36"/>
      <c r="M996" s="36"/>
      <c r="N996" s="36"/>
      <c r="O996" s="36"/>
      <c r="P996" s="36"/>
      <c r="Q996" s="36"/>
      <c r="R996" s="36"/>
      <c r="S996" s="36"/>
      <c r="T996" s="36"/>
    </row>
    <row r="997" spans="1:20" ht="15.75">
      <c r="A997" s="13">
        <v>71863</v>
      </c>
      <c r="B997" s="44">
        <f t="shared" si="6"/>
        <v>30</v>
      </c>
      <c r="C997" s="35">
        <v>194.20500000000001</v>
      </c>
      <c r="D997" s="35">
        <v>267.46600000000001</v>
      </c>
      <c r="E997" s="41">
        <v>812.32899999999995</v>
      </c>
      <c r="F997" s="35">
        <v>1274</v>
      </c>
      <c r="G997" s="35">
        <v>50</v>
      </c>
      <c r="H997" s="43">
        <v>600</v>
      </c>
      <c r="I997" s="35">
        <v>695</v>
      </c>
      <c r="J997" s="35">
        <v>0</v>
      </c>
      <c r="K997" s="36"/>
      <c r="L997" s="36"/>
      <c r="M997" s="36"/>
      <c r="N997" s="36"/>
      <c r="O997" s="36"/>
      <c r="P997" s="36"/>
      <c r="Q997" s="36"/>
      <c r="R997" s="36"/>
      <c r="S997" s="36"/>
      <c r="T997" s="36"/>
    </row>
    <row r="998" spans="1:20" ht="15.75">
      <c r="A998" s="13">
        <v>71894</v>
      </c>
      <c r="B998" s="44">
        <f t="shared" si="6"/>
        <v>31</v>
      </c>
      <c r="C998" s="35">
        <v>131.881</v>
      </c>
      <c r="D998" s="35">
        <v>277.16699999999997</v>
      </c>
      <c r="E998" s="41">
        <v>829.952</v>
      </c>
      <c r="F998" s="35">
        <v>1239</v>
      </c>
      <c r="G998" s="35">
        <v>75</v>
      </c>
      <c r="H998" s="43">
        <v>600</v>
      </c>
      <c r="I998" s="35">
        <v>695</v>
      </c>
      <c r="J998" s="35">
        <v>0</v>
      </c>
      <c r="K998" s="36"/>
      <c r="L998" s="36"/>
      <c r="M998" s="36"/>
      <c r="N998" s="36"/>
      <c r="O998" s="36"/>
      <c r="P998" s="36"/>
      <c r="Q998" s="36"/>
      <c r="R998" s="36"/>
      <c r="S998" s="36"/>
      <c r="T998" s="36"/>
    </row>
    <row r="999" spans="1:20" ht="15.75">
      <c r="A999" s="13">
        <v>71924</v>
      </c>
      <c r="B999" s="44">
        <f t="shared" si="6"/>
        <v>30</v>
      </c>
      <c r="C999" s="35">
        <v>122.58</v>
      </c>
      <c r="D999" s="35">
        <v>297.94099999999997</v>
      </c>
      <c r="E999" s="41">
        <v>729.47900000000004</v>
      </c>
      <c r="F999" s="35">
        <v>1150</v>
      </c>
      <c r="G999" s="35">
        <v>100</v>
      </c>
      <c r="H999" s="43">
        <v>600</v>
      </c>
      <c r="I999" s="35">
        <v>695</v>
      </c>
      <c r="J999" s="35">
        <v>50</v>
      </c>
      <c r="K999" s="36"/>
      <c r="L999" s="36"/>
      <c r="M999" s="36"/>
      <c r="N999" s="36"/>
      <c r="O999" s="36"/>
      <c r="P999" s="36"/>
      <c r="Q999" s="36"/>
      <c r="R999" s="36"/>
      <c r="S999" s="36"/>
      <c r="T999" s="36"/>
    </row>
    <row r="1000" spans="1:20" ht="15.75">
      <c r="A1000" s="13">
        <v>71955</v>
      </c>
      <c r="B1000" s="44">
        <f t="shared" si="6"/>
        <v>31</v>
      </c>
      <c r="C1000" s="35">
        <v>122.58</v>
      </c>
      <c r="D1000" s="35">
        <v>297.94099999999997</v>
      </c>
      <c r="E1000" s="41">
        <v>729.47900000000004</v>
      </c>
      <c r="F1000" s="35">
        <v>1150</v>
      </c>
      <c r="G1000" s="35">
        <v>100</v>
      </c>
      <c r="H1000" s="43">
        <v>600</v>
      </c>
      <c r="I1000" s="35">
        <v>695</v>
      </c>
      <c r="J1000" s="35">
        <v>50</v>
      </c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</row>
    <row r="1001" spans="1:20" ht="15.75">
      <c r="A1001" s="13">
        <v>71986</v>
      </c>
      <c r="B1001" s="44">
        <f t="shared" si="6"/>
        <v>31</v>
      </c>
      <c r="C1001" s="35">
        <v>122.58</v>
      </c>
      <c r="D1001" s="35">
        <v>297.94099999999997</v>
      </c>
      <c r="E1001" s="41">
        <v>729.47900000000004</v>
      </c>
      <c r="F1001" s="35">
        <v>1150</v>
      </c>
      <c r="G1001" s="35">
        <v>100</v>
      </c>
      <c r="H1001" s="43">
        <v>600</v>
      </c>
      <c r="I1001" s="35">
        <v>695</v>
      </c>
      <c r="J1001" s="35">
        <v>50</v>
      </c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</row>
    <row r="1002" spans="1:20" ht="15.75">
      <c r="A1002" s="13">
        <v>72014</v>
      </c>
      <c r="B1002" s="44">
        <f t="shared" si="6"/>
        <v>28</v>
      </c>
      <c r="C1002" s="35">
        <v>122.58</v>
      </c>
      <c r="D1002" s="35">
        <v>297.94099999999997</v>
      </c>
      <c r="E1002" s="41">
        <v>729.47900000000004</v>
      </c>
      <c r="F1002" s="35">
        <v>1150</v>
      </c>
      <c r="G1002" s="35">
        <v>100</v>
      </c>
      <c r="H1002" s="43">
        <v>600</v>
      </c>
      <c r="I1002" s="35">
        <v>695</v>
      </c>
      <c r="J1002" s="35">
        <v>50</v>
      </c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</row>
    <row r="1003" spans="1:20" ht="15.75">
      <c r="A1003" s="13">
        <v>72045</v>
      </c>
      <c r="B1003" s="44">
        <f t="shared" si="6"/>
        <v>31</v>
      </c>
      <c r="C1003" s="35">
        <v>122.58</v>
      </c>
      <c r="D1003" s="35">
        <v>297.94099999999997</v>
      </c>
      <c r="E1003" s="41">
        <v>729.47900000000004</v>
      </c>
      <c r="F1003" s="35">
        <v>1150</v>
      </c>
      <c r="G1003" s="35">
        <v>100</v>
      </c>
      <c r="H1003" s="43">
        <v>600</v>
      </c>
      <c r="I1003" s="35">
        <v>695</v>
      </c>
      <c r="J1003" s="35">
        <v>50</v>
      </c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</row>
    <row r="1004" spans="1:20" ht="15.75">
      <c r="A1004" s="13">
        <v>72075</v>
      </c>
      <c r="B1004" s="44">
        <f t="shared" si="6"/>
        <v>30</v>
      </c>
      <c r="C1004" s="35">
        <v>141.29300000000001</v>
      </c>
      <c r="D1004" s="35">
        <v>267.99299999999999</v>
      </c>
      <c r="E1004" s="41">
        <v>829.71400000000006</v>
      </c>
      <c r="F1004" s="35">
        <v>1239</v>
      </c>
      <c r="G1004" s="35">
        <v>100</v>
      </c>
      <c r="H1004" s="43">
        <v>600</v>
      </c>
      <c r="I1004" s="35">
        <v>695</v>
      </c>
      <c r="J1004" s="35">
        <v>50</v>
      </c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</row>
    <row r="1005" spans="1:20" ht="15.75">
      <c r="A1005" s="13">
        <v>72106</v>
      </c>
      <c r="B1005" s="44">
        <f t="shared" si="6"/>
        <v>31</v>
      </c>
      <c r="C1005" s="35">
        <v>194.20500000000001</v>
      </c>
      <c r="D1005" s="35">
        <v>267.46600000000001</v>
      </c>
      <c r="E1005" s="41">
        <v>812.32899999999995</v>
      </c>
      <c r="F1005" s="35">
        <v>1274</v>
      </c>
      <c r="G1005" s="35">
        <v>75</v>
      </c>
      <c r="H1005" s="43">
        <v>600</v>
      </c>
      <c r="I1005" s="35">
        <v>695</v>
      </c>
      <c r="J1005" s="35">
        <v>50</v>
      </c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</row>
    <row r="1006" spans="1:20" ht="15.75">
      <c r="A1006" s="13">
        <v>72136</v>
      </c>
      <c r="B1006" s="44">
        <f t="shared" si="6"/>
        <v>30</v>
      </c>
      <c r="C1006" s="35">
        <v>194.20500000000001</v>
      </c>
      <c r="D1006" s="35">
        <v>267.46600000000001</v>
      </c>
      <c r="E1006" s="41">
        <v>812.32899999999995</v>
      </c>
      <c r="F1006" s="35">
        <v>1274</v>
      </c>
      <c r="G1006" s="35">
        <v>50</v>
      </c>
      <c r="H1006" s="43">
        <v>600</v>
      </c>
      <c r="I1006" s="35">
        <v>695</v>
      </c>
      <c r="J1006" s="35">
        <v>50</v>
      </c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</row>
    <row r="1007" spans="1:20" ht="15.75">
      <c r="A1007" s="13">
        <v>72167</v>
      </c>
      <c r="B1007" s="44">
        <f t="shared" si="6"/>
        <v>31</v>
      </c>
      <c r="C1007" s="35">
        <v>194.20500000000001</v>
      </c>
      <c r="D1007" s="35">
        <v>267.46600000000001</v>
      </c>
      <c r="E1007" s="41">
        <v>812.32899999999995</v>
      </c>
      <c r="F1007" s="35">
        <v>1274</v>
      </c>
      <c r="G1007" s="35">
        <v>50</v>
      </c>
      <c r="H1007" s="43">
        <v>600</v>
      </c>
      <c r="I1007" s="35">
        <v>695</v>
      </c>
      <c r="J1007" s="35">
        <v>0</v>
      </c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</row>
    <row r="1008" spans="1:20" ht="15.75">
      <c r="A1008" s="13">
        <v>72198</v>
      </c>
      <c r="B1008" s="44">
        <f t="shared" si="6"/>
        <v>31</v>
      </c>
      <c r="C1008" s="35">
        <v>194.20500000000001</v>
      </c>
      <c r="D1008" s="35">
        <v>267.46600000000001</v>
      </c>
      <c r="E1008" s="41">
        <v>812.32899999999995</v>
      </c>
      <c r="F1008" s="35">
        <v>1274</v>
      </c>
      <c r="G1008" s="35">
        <v>50</v>
      </c>
      <c r="H1008" s="43">
        <v>600</v>
      </c>
      <c r="I1008" s="35">
        <v>695</v>
      </c>
      <c r="J1008" s="35">
        <v>0</v>
      </c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</row>
    <row r="1009" spans="1:20" ht="15.75">
      <c r="A1009" s="13">
        <v>72228</v>
      </c>
      <c r="B1009" s="44">
        <f t="shared" si="6"/>
        <v>30</v>
      </c>
      <c r="C1009" s="35">
        <v>194.20500000000001</v>
      </c>
      <c r="D1009" s="35">
        <v>267.46600000000001</v>
      </c>
      <c r="E1009" s="41">
        <v>812.32899999999995</v>
      </c>
      <c r="F1009" s="35">
        <v>1274</v>
      </c>
      <c r="G1009" s="35">
        <v>50</v>
      </c>
      <c r="H1009" s="43">
        <v>600</v>
      </c>
      <c r="I1009" s="35">
        <v>695</v>
      </c>
      <c r="J1009" s="35">
        <v>0</v>
      </c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</row>
    <row r="1010" spans="1:20" ht="15.75">
      <c r="A1010" s="13">
        <v>72259</v>
      </c>
      <c r="B1010" s="44">
        <f t="shared" si="6"/>
        <v>31</v>
      </c>
      <c r="C1010" s="35">
        <v>131.881</v>
      </c>
      <c r="D1010" s="35">
        <v>277.16699999999997</v>
      </c>
      <c r="E1010" s="41">
        <v>829.952</v>
      </c>
      <c r="F1010" s="35">
        <v>1239</v>
      </c>
      <c r="G1010" s="35">
        <v>75</v>
      </c>
      <c r="H1010" s="43">
        <v>600</v>
      </c>
      <c r="I1010" s="35">
        <v>695</v>
      </c>
      <c r="J1010" s="35">
        <v>0</v>
      </c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</row>
    <row r="1011" spans="1:20" ht="15.75">
      <c r="A1011" s="13">
        <v>72289</v>
      </c>
      <c r="B1011" s="44">
        <f t="shared" si="6"/>
        <v>30</v>
      </c>
      <c r="C1011" s="35">
        <v>122.58</v>
      </c>
      <c r="D1011" s="35">
        <v>297.94099999999997</v>
      </c>
      <c r="E1011" s="41">
        <v>729.47900000000004</v>
      </c>
      <c r="F1011" s="35">
        <v>1150</v>
      </c>
      <c r="G1011" s="35">
        <v>100</v>
      </c>
      <c r="H1011" s="43">
        <v>600</v>
      </c>
      <c r="I1011" s="35">
        <v>695</v>
      </c>
      <c r="J1011" s="35">
        <v>50</v>
      </c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</row>
    <row r="1012" spans="1:20" ht="15.75">
      <c r="A1012" s="13">
        <v>72320</v>
      </c>
      <c r="B1012" s="44">
        <f t="shared" si="6"/>
        <v>31</v>
      </c>
      <c r="C1012" s="35">
        <v>122.58</v>
      </c>
      <c r="D1012" s="35">
        <v>297.94099999999997</v>
      </c>
      <c r="E1012" s="41">
        <v>729.47900000000004</v>
      </c>
      <c r="F1012" s="35">
        <v>1150</v>
      </c>
      <c r="G1012" s="35">
        <v>100</v>
      </c>
      <c r="H1012" s="43">
        <v>600</v>
      </c>
      <c r="I1012" s="35">
        <v>695</v>
      </c>
      <c r="J1012" s="35">
        <v>50</v>
      </c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</row>
    <row r="1013" spans="1:20" ht="15.75">
      <c r="A1013" s="13">
        <v>72351</v>
      </c>
      <c r="B1013" s="44">
        <f t="shared" si="6"/>
        <v>31</v>
      </c>
      <c r="C1013" s="35">
        <v>122.58</v>
      </c>
      <c r="D1013" s="35">
        <v>297.94099999999997</v>
      </c>
      <c r="E1013" s="41">
        <v>729.47900000000004</v>
      </c>
      <c r="F1013" s="35">
        <v>1150</v>
      </c>
      <c r="G1013" s="35">
        <v>100</v>
      </c>
      <c r="H1013" s="43">
        <v>600</v>
      </c>
      <c r="I1013" s="35">
        <v>695</v>
      </c>
      <c r="J1013" s="35">
        <v>50</v>
      </c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</row>
    <row r="1014" spans="1:20" ht="15.75">
      <c r="A1014" s="13">
        <v>72379</v>
      </c>
      <c r="B1014" s="44">
        <f t="shared" si="6"/>
        <v>28</v>
      </c>
      <c r="C1014" s="35">
        <v>122.58</v>
      </c>
      <c r="D1014" s="35">
        <v>297.94099999999997</v>
      </c>
      <c r="E1014" s="41">
        <v>729.47900000000004</v>
      </c>
      <c r="F1014" s="35">
        <v>1150</v>
      </c>
      <c r="G1014" s="35">
        <v>100</v>
      </c>
      <c r="H1014" s="43">
        <v>600</v>
      </c>
      <c r="I1014" s="35">
        <v>695</v>
      </c>
      <c r="J1014" s="35">
        <v>50</v>
      </c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</row>
    <row r="1015" spans="1:20" ht="15.75">
      <c r="A1015" s="13">
        <v>72410</v>
      </c>
      <c r="B1015" s="44">
        <f t="shared" si="6"/>
        <v>31</v>
      </c>
      <c r="C1015" s="35">
        <v>122.58</v>
      </c>
      <c r="D1015" s="35">
        <v>297.94099999999997</v>
      </c>
      <c r="E1015" s="41">
        <v>729.47900000000004</v>
      </c>
      <c r="F1015" s="35">
        <v>1150</v>
      </c>
      <c r="G1015" s="35">
        <v>100</v>
      </c>
      <c r="H1015" s="43">
        <v>600</v>
      </c>
      <c r="I1015" s="35">
        <v>695</v>
      </c>
      <c r="J1015" s="35">
        <v>50</v>
      </c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</row>
    <row r="1016" spans="1:20" ht="15.75">
      <c r="A1016" s="13">
        <v>72440</v>
      </c>
      <c r="B1016" s="44">
        <f t="shared" si="6"/>
        <v>30</v>
      </c>
      <c r="C1016" s="35">
        <v>141.29300000000001</v>
      </c>
      <c r="D1016" s="35">
        <v>267.99299999999999</v>
      </c>
      <c r="E1016" s="41">
        <v>829.71400000000006</v>
      </c>
      <c r="F1016" s="35">
        <v>1239</v>
      </c>
      <c r="G1016" s="35">
        <v>100</v>
      </c>
      <c r="H1016" s="43">
        <v>600</v>
      </c>
      <c r="I1016" s="35">
        <v>695</v>
      </c>
      <c r="J1016" s="35">
        <v>50</v>
      </c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</row>
    <row r="1017" spans="1:20" ht="15.75">
      <c r="A1017" s="13">
        <v>72471</v>
      </c>
      <c r="B1017" s="44">
        <f t="shared" si="6"/>
        <v>31</v>
      </c>
      <c r="C1017" s="35">
        <v>194.20500000000001</v>
      </c>
      <c r="D1017" s="35">
        <v>267.46600000000001</v>
      </c>
      <c r="E1017" s="41">
        <v>812.32899999999995</v>
      </c>
      <c r="F1017" s="35">
        <v>1274</v>
      </c>
      <c r="G1017" s="35">
        <v>75</v>
      </c>
      <c r="H1017" s="43">
        <v>600</v>
      </c>
      <c r="I1017" s="35">
        <v>695</v>
      </c>
      <c r="J1017" s="35">
        <v>50</v>
      </c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</row>
    <row r="1018" spans="1:20" ht="15.75">
      <c r="A1018" s="13">
        <v>72501</v>
      </c>
      <c r="B1018" s="44">
        <f t="shared" si="6"/>
        <v>30</v>
      </c>
      <c r="C1018" s="35">
        <v>194.20500000000001</v>
      </c>
      <c r="D1018" s="35">
        <v>267.46600000000001</v>
      </c>
      <c r="E1018" s="41">
        <v>812.32899999999995</v>
      </c>
      <c r="F1018" s="35">
        <v>1274</v>
      </c>
      <c r="G1018" s="35">
        <v>50</v>
      </c>
      <c r="H1018" s="43">
        <v>600</v>
      </c>
      <c r="I1018" s="35">
        <v>695</v>
      </c>
      <c r="J1018" s="35">
        <v>50</v>
      </c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</row>
    <row r="1019" spans="1:20" ht="15.75">
      <c r="A1019" s="13">
        <v>72532</v>
      </c>
      <c r="B1019" s="44">
        <f t="shared" si="6"/>
        <v>31</v>
      </c>
      <c r="C1019" s="35">
        <v>194.20500000000001</v>
      </c>
      <c r="D1019" s="35">
        <v>267.46600000000001</v>
      </c>
      <c r="E1019" s="41">
        <v>812.32899999999995</v>
      </c>
      <c r="F1019" s="35">
        <v>1274</v>
      </c>
      <c r="G1019" s="35">
        <v>50</v>
      </c>
      <c r="H1019" s="43">
        <v>600</v>
      </c>
      <c r="I1019" s="35">
        <v>695</v>
      </c>
      <c r="J1019" s="35">
        <v>0</v>
      </c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</row>
    <row r="1020" spans="1:20" ht="15.75">
      <c r="A1020" s="13">
        <v>72563</v>
      </c>
      <c r="B1020" s="44">
        <f t="shared" si="6"/>
        <v>31</v>
      </c>
      <c r="C1020" s="35">
        <v>194.20500000000001</v>
      </c>
      <c r="D1020" s="35">
        <v>267.46600000000001</v>
      </c>
      <c r="E1020" s="41">
        <v>812.32899999999995</v>
      </c>
      <c r="F1020" s="35">
        <v>1274</v>
      </c>
      <c r="G1020" s="35">
        <v>50</v>
      </c>
      <c r="H1020" s="43">
        <v>600</v>
      </c>
      <c r="I1020" s="35">
        <v>695</v>
      </c>
      <c r="J1020" s="35">
        <v>0</v>
      </c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</row>
    <row r="1021" spans="1:20" ht="15.75">
      <c r="A1021" s="13">
        <v>72593</v>
      </c>
      <c r="B1021" s="44">
        <f t="shared" si="6"/>
        <v>30</v>
      </c>
      <c r="C1021" s="35">
        <v>194.20500000000001</v>
      </c>
      <c r="D1021" s="35">
        <v>267.46600000000001</v>
      </c>
      <c r="E1021" s="41">
        <v>812.32899999999995</v>
      </c>
      <c r="F1021" s="35">
        <v>1274</v>
      </c>
      <c r="G1021" s="35">
        <v>50</v>
      </c>
      <c r="H1021" s="43">
        <v>600</v>
      </c>
      <c r="I1021" s="35">
        <v>695</v>
      </c>
      <c r="J1021" s="35">
        <v>0</v>
      </c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</row>
    <row r="1022" spans="1:20" ht="15.75">
      <c r="A1022" s="13">
        <v>72624</v>
      </c>
      <c r="B1022" s="44">
        <f t="shared" si="6"/>
        <v>31</v>
      </c>
      <c r="C1022" s="35">
        <v>131.881</v>
      </c>
      <c r="D1022" s="35">
        <v>277.16699999999997</v>
      </c>
      <c r="E1022" s="41">
        <v>829.952</v>
      </c>
      <c r="F1022" s="35">
        <v>1239</v>
      </c>
      <c r="G1022" s="35">
        <v>75</v>
      </c>
      <c r="H1022" s="43">
        <v>600</v>
      </c>
      <c r="I1022" s="35">
        <v>695</v>
      </c>
      <c r="J1022" s="35">
        <v>0</v>
      </c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</row>
    <row r="1023" spans="1:20" ht="15.75">
      <c r="A1023" s="13">
        <v>72654</v>
      </c>
      <c r="B1023" s="44">
        <f t="shared" si="6"/>
        <v>30</v>
      </c>
      <c r="C1023" s="35">
        <v>122.58</v>
      </c>
      <c r="D1023" s="35">
        <v>297.94099999999997</v>
      </c>
      <c r="E1023" s="41">
        <v>729.47900000000004</v>
      </c>
      <c r="F1023" s="35">
        <v>1150</v>
      </c>
      <c r="G1023" s="35">
        <v>100</v>
      </c>
      <c r="H1023" s="43">
        <v>600</v>
      </c>
      <c r="I1023" s="35">
        <v>695</v>
      </c>
      <c r="J1023" s="35">
        <v>50</v>
      </c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</row>
    <row r="1024" spans="1:20" ht="15.75">
      <c r="A1024" s="13">
        <v>72685</v>
      </c>
      <c r="B1024" s="44">
        <f t="shared" si="6"/>
        <v>31</v>
      </c>
      <c r="C1024" s="35">
        <v>122.58</v>
      </c>
      <c r="D1024" s="35">
        <v>297.94099999999997</v>
      </c>
      <c r="E1024" s="41">
        <v>729.47900000000004</v>
      </c>
      <c r="F1024" s="35">
        <v>1150</v>
      </c>
      <c r="G1024" s="35">
        <v>100</v>
      </c>
      <c r="H1024" s="43">
        <v>600</v>
      </c>
      <c r="I1024" s="35">
        <v>695</v>
      </c>
      <c r="J1024" s="35">
        <v>50</v>
      </c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</row>
    <row r="1025" spans="1:20" ht="15.75">
      <c r="A1025" s="13">
        <v>72716</v>
      </c>
      <c r="B1025" s="44">
        <f t="shared" si="6"/>
        <v>31</v>
      </c>
      <c r="C1025" s="35">
        <v>122.58</v>
      </c>
      <c r="D1025" s="35">
        <v>297.94099999999997</v>
      </c>
      <c r="E1025" s="41">
        <v>729.47900000000004</v>
      </c>
      <c r="F1025" s="35">
        <v>1150</v>
      </c>
      <c r="G1025" s="35">
        <v>100</v>
      </c>
      <c r="H1025" s="43">
        <v>600</v>
      </c>
      <c r="I1025" s="35">
        <v>695</v>
      </c>
      <c r="J1025" s="35">
        <v>50</v>
      </c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</row>
    <row r="1026" spans="1:20" ht="15.75">
      <c r="A1026" s="13">
        <v>72744</v>
      </c>
      <c r="B1026" s="44">
        <f t="shared" si="6"/>
        <v>28</v>
      </c>
      <c r="C1026" s="35">
        <v>122.58</v>
      </c>
      <c r="D1026" s="35">
        <v>297.94099999999997</v>
      </c>
      <c r="E1026" s="41">
        <v>729.47900000000004</v>
      </c>
      <c r="F1026" s="35">
        <v>1150</v>
      </c>
      <c r="G1026" s="35">
        <v>100</v>
      </c>
      <c r="H1026" s="43">
        <v>600</v>
      </c>
      <c r="I1026" s="35">
        <v>695</v>
      </c>
      <c r="J1026" s="35">
        <v>50</v>
      </c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</row>
    <row r="1027" spans="1:20" ht="15.75">
      <c r="A1027" s="13">
        <v>72775</v>
      </c>
      <c r="B1027" s="44">
        <f t="shared" si="6"/>
        <v>31</v>
      </c>
      <c r="C1027" s="35">
        <v>122.58</v>
      </c>
      <c r="D1027" s="35">
        <v>297.94099999999997</v>
      </c>
      <c r="E1027" s="41">
        <v>729.47900000000004</v>
      </c>
      <c r="F1027" s="35">
        <v>1150</v>
      </c>
      <c r="G1027" s="35">
        <v>100</v>
      </c>
      <c r="H1027" s="43">
        <v>600</v>
      </c>
      <c r="I1027" s="35">
        <v>695</v>
      </c>
      <c r="J1027" s="35">
        <v>50</v>
      </c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</row>
    <row r="1028" spans="1:20" ht="15.75">
      <c r="A1028" s="13">
        <v>72805</v>
      </c>
      <c r="B1028" s="44">
        <f t="shared" si="6"/>
        <v>30</v>
      </c>
      <c r="C1028" s="35">
        <v>141.29300000000001</v>
      </c>
      <c r="D1028" s="35">
        <v>267.99299999999999</v>
      </c>
      <c r="E1028" s="41">
        <v>829.71400000000006</v>
      </c>
      <c r="F1028" s="35">
        <v>1239</v>
      </c>
      <c r="G1028" s="35">
        <v>100</v>
      </c>
      <c r="H1028" s="43">
        <v>600</v>
      </c>
      <c r="I1028" s="35">
        <v>695</v>
      </c>
      <c r="J1028" s="35">
        <v>50</v>
      </c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</row>
    <row r="1029" spans="1:20" ht="15.75">
      <c r="A1029" s="13">
        <v>72836</v>
      </c>
      <c r="B1029" s="44">
        <f t="shared" ref="B1029:B1048" si="7">EOMONTH(A1029,0)-EOMONTH(A1029,-1)</f>
        <v>31</v>
      </c>
      <c r="C1029" s="35">
        <v>194.20500000000001</v>
      </c>
      <c r="D1029" s="35">
        <v>267.46600000000001</v>
      </c>
      <c r="E1029" s="41">
        <v>812.32899999999995</v>
      </c>
      <c r="F1029" s="35">
        <v>1274</v>
      </c>
      <c r="G1029" s="35">
        <v>75</v>
      </c>
      <c r="H1029" s="43">
        <v>600</v>
      </c>
      <c r="I1029" s="35">
        <v>695</v>
      </c>
      <c r="J1029" s="35">
        <v>50</v>
      </c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</row>
    <row r="1030" spans="1:20" ht="15.75">
      <c r="A1030" s="13">
        <v>72866</v>
      </c>
      <c r="B1030" s="44">
        <f t="shared" si="7"/>
        <v>30</v>
      </c>
      <c r="C1030" s="35">
        <v>194.20500000000001</v>
      </c>
      <c r="D1030" s="35">
        <v>267.46600000000001</v>
      </c>
      <c r="E1030" s="41">
        <v>812.32899999999995</v>
      </c>
      <c r="F1030" s="35">
        <v>1274</v>
      </c>
      <c r="G1030" s="35">
        <v>50</v>
      </c>
      <c r="H1030" s="43">
        <v>600</v>
      </c>
      <c r="I1030" s="35">
        <v>695</v>
      </c>
      <c r="J1030" s="35">
        <v>50</v>
      </c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</row>
    <row r="1031" spans="1:20" ht="15.75">
      <c r="A1031" s="13">
        <v>72897</v>
      </c>
      <c r="B1031" s="44">
        <f t="shared" si="7"/>
        <v>31</v>
      </c>
      <c r="C1031" s="35">
        <v>194.20500000000001</v>
      </c>
      <c r="D1031" s="35">
        <v>267.46600000000001</v>
      </c>
      <c r="E1031" s="41">
        <v>812.32899999999995</v>
      </c>
      <c r="F1031" s="35">
        <v>1274</v>
      </c>
      <c r="G1031" s="35">
        <v>50</v>
      </c>
      <c r="H1031" s="43">
        <v>600</v>
      </c>
      <c r="I1031" s="35">
        <v>695</v>
      </c>
      <c r="J1031" s="35">
        <v>0</v>
      </c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</row>
    <row r="1032" spans="1:20" ht="15.75">
      <c r="A1032" s="13">
        <v>72928</v>
      </c>
      <c r="B1032" s="44">
        <f t="shared" si="7"/>
        <v>31</v>
      </c>
      <c r="C1032" s="35">
        <v>194.20500000000001</v>
      </c>
      <c r="D1032" s="35">
        <v>267.46600000000001</v>
      </c>
      <c r="E1032" s="41">
        <v>812.32899999999995</v>
      </c>
      <c r="F1032" s="35">
        <v>1274</v>
      </c>
      <c r="G1032" s="35">
        <v>50</v>
      </c>
      <c r="H1032" s="43">
        <v>600</v>
      </c>
      <c r="I1032" s="35">
        <v>695</v>
      </c>
      <c r="J1032" s="35">
        <v>0</v>
      </c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</row>
    <row r="1033" spans="1:20" ht="15.75">
      <c r="A1033" s="13">
        <v>72958</v>
      </c>
      <c r="B1033" s="44">
        <f t="shared" si="7"/>
        <v>30</v>
      </c>
      <c r="C1033" s="35">
        <v>194.20500000000001</v>
      </c>
      <c r="D1033" s="35">
        <v>267.46600000000001</v>
      </c>
      <c r="E1033" s="41">
        <v>812.32899999999995</v>
      </c>
      <c r="F1033" s="35">
        <v>1274</v>
      </c>
      <c r="G1033" s="35">
        <v>50</v>
      </c>
      <c r="H1033" s="43">
        <v>600</v>
      </c>
      <c r="I1033" s="35">
        <v>695</v>
      </c>
      <c r="J1033" s="35">
        <v>0</v>
      </c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</row>
    <row r="1034" spans="1:20" ht="15.75">
      <c r="A1034" s="13">
        <v>72989</v>
      </c>
      <c r="B1034" s="44">
        <f t="shared" si="7"/>
        <v>31</v>
      </c>
      <c r="C1034" s="35">
        <v>131.881</v>
      </c>
      <c r="D1034" s="35">
        <v>277.16699999999997</v>
      </c>
      <c r="E1034" s="41">
        <v>829.952</v>
      </c>
      <c r="F1034" s="35">
        <v>1239</v>
      </c>
      <c r="G1034" s="35">
        <v>75</v>
      </c>
      <c r="H1034" s="43">
        <v>600</v>
      </c>
      <c r="I1034" s="35">
        <v>695</v>
      </c>
      <c r="J1034" s="35">
        <v>0</v>
      </c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</row>
    <row r="1035" spans="1:20" ht="15.75">
      <c r="A1035" s="13">
        <v>73019</v>
      </c>
      <c r="B1035" s="44">
        <f t="shared" si="7"/>
        <v>30</v>
      </c>
      <c r="C1035" s="35">
        <v>122.58</v>
      </c>
      <c r="D1035" s="35">
        <v>297.94099999999997</v>
      </c>
      <c r="E1035" s="41">
        <v>729.47900000000004</v>
      </c>
      <c r="F1035" s="35">
        <v>1150</v>
      </c>
      <c r="G1035" s="35">
        <v>100</v>
      </c>
      <c r="H1035" s="43">
        <v>600</v>
      </c>
      <c r="I1035" s="35">
        <v>695</v>
      </c>
      <c r="J1035" s="35">
        <v>50</v>
      </c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</row>
    <row r="1036" spans="1:20" ht="15.75">
      <c r="A1036" s="13">
        <v>73050</v>
      </c>
      <c r="B1036" s="44">
        <f t="shared" si="7"/>
        <v>31</v>
      </c>
      <c r="C1036" s="35">
        <v>122.58</v>
      </c>
      <c r="D1036" s="35">
        <v>297.94099999999997</v>
      </c>
      <c r="E1036" s="41">
        <v>729.47900000000004</v>
      </c>
      <c r="F1036" s="35">
        <v>1150</v>
      </c>
      <c r="G1036" s="35">
        <v>100</v>
      </c>
      <c r="H1036" s="43">
        <v>600</v>
      </c>
      <c r="I1036" s="35">
        <v>695</v>
      </c>
      <c r="J1036" s="35">
        <v>50</v>
      </c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</row>
    <row r="1037" spans="1:20" ht="15.75">
      <c r="A1037" s="13">
        <v>73081</v>
      </c>
      <c r="B1037" s="44">
        <f t="shared" si="7"/>
        <v>31</v>
      </c>
      <c r="C1037" s="35">
        <v>122.58</v>
      </c>
      <c r="D1037" s="35">
        <v>297.94099999999997</v>
      </c>
      <c r="E1037" s="41">
        <v>729.47900000000004</v>
      </c>
      <c r="F1037" s="35">
        <v>1150</v>
      </c>
      <c r="G1037" s="35">
        <v>100</v>
      </c>
      <c r="H1037" s="43">
        <v>600</v>
      </c>
      <c r="I1037" s="35">
        <v>695</v>
      </c>
      <c r="J1037" s="35">
        <v>50</v>
      </c>
      <c r="K1037" s="36"/>
      <c r="L1037" s="36"/>
      <c r="M1037" s="36"/>
      <c r="N1037" s="36"/>
      <c r="O1037" s="36"/>
      <c r="P1037" s="36"/>
      <c r="Q1037" s="36"/>
      <c r="R1037" s="36"/>
      <c r="S1037" s="36"/>
      <c r="T1037" s="36"/>
    </row>
    <row r="1038" spans="1:20" ht="15.75">
      <c r="A1038" s="13">
        <v>73109</v>
      </c>
      <c r="B1038" s="44">
        <f t="shared" si="7"/>
        <v>28</v>
      </c>
      <c r="C1038" s="35">
        <v>122.58</v>
      </c>
      <c r="D1038" s="35">
        <v>297.94099999999997</v>
      </c>
      <c r="E1038" s="41">
        <v>729.47900000000004</v>
      </c>
      <c r="F1038" s="35">
        <v>1150</v>
      </c>
      <c r="G1038" s="35">
        <v>100</v>
      </c>
      <c r="H1038" s="43">
        <v>600</v>
      </c>
      <c r="I1038" s="35">
        <v>695</v>
      </c>
      <c r="J1038" s="35">
        <v>50</v>
      </c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</row>
    <row r="1039" spans="1:20" ht="15.75">
      <c r="A1039" s="13">
        <v>73140</v>
      </c>
      <c r="B1039" s="44">
        <f t="shared" si="7"/>
        <v>31</v>
      </c>
      <c r="C1039" s="35">
        <v>122.58</v>
      </c>
      <c r="D1039" s="35">
        <v>297.94099999999997</v>
      </c>
      <c r="E1039" s="41">
        <v>729.47900000000004</v>
      </c>
      <c r="F1039" s="35">
        <v>1150</v>
      </c>
      <c r="G1039" s="35">
        <v>100</v>
      </c>
      <c r="H1039" s="43">
        <v>600</v>
      </c>
      <c r="I1039" s="35">
        <v>695</v>
      </c>
      <c r="J1039" s="35">
        <v>50</v>
      </c>
      <c r="K1039" s="36"/>
      <c r="L1039" s="36"/>
      <c r="M1039" s="36"/>
      <c r="N1039" s="36"/>
      <c r="O1039" s="36"/>
      <c r="P1039" s="36"/>
      <c r="Q1039" s="36"/>
      <c r="R1039" s="36"/>
      <c r="S1039" s="36"/>
      <c r="T1039" s="36"/>
    </row>
    <row r="1040" spans="1:20" ht="15.75">
      <c r="A1040" s="13">
        <v>73170</v>
      </c>
      <c r="B1040" s="44">
        <f t="shared" si="7"/>
        <v>30</v>
      </c>
      <c r="C1040" s="35">
        <v>141.29300000000001</v>
      </c>
      <c r="D1040" s="35">
        <v>267.99299999999999</v>
      </c>
      <c r="E1040" s="41">
        <v>829.71400000000006</v>
      </c>
      <c r="F1040" s="35">
        <v>1239</v>
      </c>
      <c r="G1040" s="35">
        <v>100</v>
      </c>
      <c r="H1040" s="43">
        <v>600</v>
      </c>
      <c r="I1040" s="35">
        <v>695</v>
      </c>
      <c r="J1040" s="35">
        <v>50</v>
      </c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</row>
    <row r="1041" spans="1:20" ht="15.75">
      <c r="A1041" s="13">
        <v>73201</v>
      </c>
      <c r="B1041" s="44">
        <f t="shared" si="7"/>
        <v>31</v>
      </c>
      <c r="C1041" s="35">
        <v>194.20500000000001</v>
      </c>
      <c r="D1041" s="35">
        <v>267.46600000000001</v>
      </c>
      <c r="E1041" s="41">
        <v>812.32899999999995</v>
      </c>
      <c r="F1041" s="35">
        <v>1274</v>
      </c>
      <c r="G1041" s="35">
        <v>75</v>
      </c>
      <c r="H1041" s="43">
        <v>600</v>
      </c>
      <c r="I1041" s="35">
        <v>695</v>
      </c>
      <c r="J1041" s="35">
        <v>50</v>
      </c>
      <c r="K1041" s="36"/>
      <c r="L1041" s="36"/>
      <c r="M1041" s="36"/>
      <c r="N1041" s="36"/>
      <c r="O1041" s="36"/>
      <c r="P1041" s="36"/>
      <c r="Q1041" s="36"/>
      <c r="R1041" s="36"/>
      <c r="S1041" s="36"/>
      <c r="T1041" s="36"/>
    </row>
    <row r="1042" spans="1:20" ht="15.75">
      <c r="A1042" s="13">
        <v>73231</v>
      </c>
      <c r="B1042" s="44">
        <f t="shared" si="7"/>
        <v>30</v>
      </c>
      <c r="C1042" s="35">
        <v>194.20500000000001</v>
      </c>
      <c r="D1042" s="35">
        <v>267.46600000000001</v>
      </c>
      <c r="E1042" s="41">
        <v>812.32899999999995</v>
      </c>
      <c r="F1042" s="35">
        <v>1274</v>
      </c>
      <c r="G1042" s="35">
        <v>50</v>
      </c>
      <c r="H1042" s="43">
        <v>600</v>
      </c>
      <c r="I1042" s="35">
        <v>695</v>
      </c>
      <c r="J1042" s="35">
        <v>50</v>
      </c>
      <c r="K1042" s="36"/>
      <c r="L1042" s="36"/>
      <c r="M1042" s="36"/>
      <c r="N1042" s="36"/>
      <c r="O1042" s="36"/>
      <c r="P1042" s="36"/>
      <c r="Q1042" s="36"/>
      <c r="R1042" s="36"/>
      <c r="S1042" s="36"/>
      <c r="T1042" s="36"/>
    </row>
    <row r="1043" spans="1:20" ht="15.75">
      <c r="A1043" s="13">
        <v>73262</v>
      </c>
      <c r="B1043" s="44">
        <f t="shared" si="7"/>
        <v>31</v>
      </c>
      <c r="C1043" s="35">
        <v>194.20500000000001</v>
      </c>
      <c r="D1043" s="35">
        <v>267.46600000000001</v>
      </c>
      <c r="E1043" s="41">
        <v>812.32899999999995</v>
      </c>
      <c r="F1043" s="35">
        <v>1274</v>
      </c>
      <c r="G1043" s="35">
        <v>50</v>
      </c>
      <c r="H1043" s="43">
        <v>600</v>
      </c>
      <c r="I1043" s="35">
        <v>695</v>
      </c>
      <c r="J1043" s="35">
        <v>0</v>
      </c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</row>
    <row r="1044" spans="1:20" ht="15.75">
      <c r="A1044" s="13">
        <v>73293</v>
      </c>
      <c r="B1044" s="44">
        <f t="shared" si="7"/>
        <v>31</v>
      </c>
      <c r="C1044" s="35">
        <v>194.20500000000001</v>
      </c>
      <c r="D1044" s="35">
        <v>267.46600000000001</v>
      </c>
      <c r="E1044" s="41">
        <v>812.32899999999995</v>
      </c>
      <c r="F1044" s="35">
        <v>1274</v>
      </c>
      <c r="G1044" s="35">
        <v>50</v>
      </c>
      <c r="H1044" s="43">
        <v>600</v>
      </c>
      <c r="I1044" s="35">
        <v>695</v>
      </c>
      <c r="J1044" s="35">
        <v>0</v>
      </c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</row>
    <row r="1045" spans="1:20" ht="15.75">
      <c r="A1045" s="13">
        <v>73323</v>
      </c>
      <c r="B1045" s="44">
        <f t="shared" si="7"/>
        <v>30</v>
      </c>
      <c r="C1045" s="35">
        <v>194.20500000000001</v>
      </c>
      <c r="D1045" s="35">
        <v>267.46600000000001</v>
      </c>
      <c r="E1045" s="41">
        <v>812.32899999999995</v>
      </c>
      <c r="F1045" s="35">
        <v>1274</v>
      </c>
      <c r="G1045" s="35">
        <v>50</v>
      </c>
      <c r="H1045" s="43">
        <v>600</v>
      </c>
      <c r="I1045" s="35">
        <v>695</v>
      </c>
      <c r="J1045" s="35">
        <v>0</v>
      </c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</row>
    <row r="1046" spans="1:20" ht="15.75">
      <c r="A1046" s="13">
        <v>73354</v>
      </c>
      <c r="B1046" s="44">
        <f t="shared" si="7"/>
        <v>31</v>
      </c>
      <c r="C1046" s="35">
        <v>131.881</v>
      </c>
      <c r="D1046" s="35">
        <v>277.16699999999997</v>
      </c>
      <c r="E1046" s="41">
        <v>829.952</v>
      </c>
      <c r="F1046" s="35">
        <v>1239</v>
      </c>
      <c r="G1046" s="35">
        <v>75</v>
      </c>
      <c r="H1046" s="43">
        <v>600</v>
      </c>
      <c r="I1046" s="35">
        <v>695</v>
      </c>
      <c r="J1046" s="35">
        <v>0</v>
      </c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</row>
    <row r="1047" spans="1:20" ht="15.75">
      <c r="A1047" s="13">
        <v>73384</v>
      </c>
      <c r="B1047" s="44">
        <f t="shared" si="7"/>
        <v>30</v>
      </c>
      <c r="C1047" s="35">
        <v>122.58</v>
      </c>
      <c r="D1047" s="35">
        <v>297.94099999999997</v>
      </c>
      <c r="E1047" s="41">
        <v>729.47900000000004</v>
      </c>
      <c r="F1047" s="35">
        <v>1150</v>
      </c>
      <c r="G1047" s="35">
        <v>100</v>
      </c>
      <c r="H1047" s="43">
        <v>600</v>
      </c>
      <c r="I1047" s="35">
        <v>695</v>
      </c>
      <c r="J1047" s="35">
        <v>50</v>
      </c>
      <c r="K1047" s="36"/>
      <c r="L1047" s="36"/>
      <c r="M1047" s="36"/>
      <c r="N1047" s="36"/>
      <c r="O1047" s="36"/>
      <c r="P1047" s="36"/>
      <c r="Q1047" s="36"/>
      <c r="R1047" s="36"/>
      <c r="S1047" s="36"/>
      <c r="T1047" s="36"/>
    </row>
    <row r="1048" spans="1:20" ht="15.75">
      <c r="A1048" s="13">
        <v>73415</v>
      </c>
      <c r="B1048" s="44">
        <f t="shared" si="7"/>
        <v>31</v>
      </c>
      <c r="C1048" s="35">
        <v>122.58</v>
      </c>
      <c r="D1048" s="35">
        <v>297.94099999999997</v>
      </c>
      <c r="E1048" s="41">
        <v>729.47900000000004</v>
      </c>
      <c r="F1048" s="35">
        <v>1150</v>
      </c>
      <c r="G1048" s="35">
        <v>100</v>
      </c>
      <c r="H1048" s="43">
        <v>600</v>
      </c>
      <c r="I1048" s="35">
        <v>695</v>
      </c>
      <c r="J1048" s="35">
        <v>50</v>
      </c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</row>
    <row r="1049" spans="1:20" ht="15">
      <c r="A1049" s="10"/>
      <c r="B1049" s="42"/>
      <c r="C1049" s="35"/>
      <c r="D1049" s="35"/>
      <c r="E1049" s="41"/>
      <c r="F1049" s="35"/>
      <c r="G1049" s="35"/>
      <c r="H1049" s="35"/>
      <c r="I1049" s="35"/>
      <c r="J1049" s="35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</row>
    <row r="1050" spans="1:20" ht="15.75">
      <c r="A1050" s="3">
        <v>2015</v>
      </c>
      <c r="B1050" s="3">
        <f t="shared" ref="B1050:B1081" si="8">DATE(A1050+1,1,1)-DATE(A1050,1,1)</f>
        <v>365</v>
      </c>
      <c r="C1050" s="38">
        <f>AVERAGE(C17:C28)</f>
        <v>154.75825</v>
      </c>
      <c r="D1050" s="38">
        <f>AVERAGE(D17:D28)</f>
        <v>281.0162499999999</v>
      </c>
      <c r="E1050" s="38">
        <f>AVERAGE(E17:E28)</f>
        <v>822.39216666666641</v>
      </c>
      <c r="F1050" s="38">
        <f>AVERAGE(F17:F28)</f>
        <v>1258.1666666666667</v>
      </c>
      <c r="G1050" s="38">
        <f>AVERAGE(G17:G28)</f>
        <v>79.166666666666671</v>
      </c>
      <c r="H1050" s="40"/>
      <c r="I1050" s="38">
        <f>AVERAGE(I17:I28)</f>
        <v>695</v>
      </c>
      <c r="J1050" s="38">
        <f>AVERAGE(J17:J28)</f>
        <v>33.333333333333336</v>
      </c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</row>
    <row r="1051" spans="1:20" ht="15.75">
      <c r="A1051" s="3">
        <v>2016</v>
      </c>
      <c r="B1051" s="3">
        <f t="shared" si="8"/>
        <v>366</v>
      </c>
      <c r="C1051" s="38">
        <f>AVERAGE(C29:C40)</f>
        <v>154.75825</v>
      </c>
      <c r="D1051" s="38">
        <f>AVERAGE(D29:D40)</f>
        <v>281.0162499999999</v>
      </c>
      <c r="E1051" s="38">
        <f>AVERAGE(E29:E40)</f>
        <v>822.39216666666641</v>
      </c>
      <c r="F1051" s="38">
        <f>AVERAGE(F29:F40)</f>
        <v>1258.1666666666667</v>
      </c>
      <c r="G1051" s="38">
        <f>AVERAGE(G29:G40)</f>
        <v>79.166666666666671</v>
      </c>
      <c r="H1051" s="40"/>
      <c r="I1051" s="38">
        <f>AVERAGE(I29:I40)</f>
        <v>695</v>
      </c>
      <c r="J1051" s="38">
        <f>AVERAGE(J29:J40)</f>
        <v>33.333333333333336</v>
      </c>
      <c r="K1051" s="36"/>
      <c r="L1051" s="36"/>
      <c r="M1051" s="36"/>
      <c r="N1051" s="36"/>
      <c r="O1051" s="36"/>
      <c r="P1051" s="36"/>
      <c r="Q1051" s="36"/>
      <c r="R1051" s="36"/>
      <c r="S1051" s="36"/>
      <c r="T1051" s="36"/>
    </row>
    <row r="1052" spans="1:20" ht="15">
      <c r="A1052" s="3">
        <v>2017</v>
      </c>
      <c r="B1052" s="3">
        <f t="shared" si="8"/>
        <v>365</v>
      </c>
      <c r="C1052" s="38">
        <f t="shared" ref="C1052:J1052" si="9">AVERAGE(C41:C52)</f>
        <v>154.75825</v>
      </c>
      <c r="D1052" s="38">
        <f t="shared" si="9"/>
        <v>281.0162499999999</v>
      </c>
      <c r="E1052" s="38">
        <f t="shared" si="9"/>
        <v>780.7254999999999</v>
      </c>
      <c r="F1052" s="38">
        <f t="shared" si="9"/>
        <v>1216.5</v>
      </c>
      <c r="G1052" s="38">
        <f t="shared" si="9"/>
        <v>79.166666666666671</v>
      </c>
      <c r="H1052" s="39">
        <f t="shared" si="9"/>
        <v>400</v>
      </c>
      <c r="I1052" s="38">
        <f t="shared" si="9"/>
        <v>695</v>
      </c>
      <c r="J1052" s="38">
        <f t="shared" si="9"/>
        <v>33.333333333333336</v>
      </c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</row>
    <row r="1053" spans="1:20" ht="15">
      <c r="A1053" s="3">
        <v>2018</v>
      </c>
      <c r="B1053" s="3">
        <f t="shared" si="8"/>
        <v>365</v>
      </c>
      <c r="C1053" s="38">
        <f t="shared" ref="C1053:J1053" si="10">AVERAGE(C53:C64)</f>
        <v>154.75825</v>
      </c>
      <c r="D1053" s="38">
        <f t="shared" si="10"/>
        <v>281.0162499999999</v>
      </c>
      <c r="E1053" s="38">
        <f t="shared" si="10"/>
        <v>780.7254999999999</v>
      </c>
      <c r="F1053" s="38">
        <f t="shared" si="10"/>
        <v>1216.5</v>
      </c>
      <c r="G1053" s="38">
        <f t="shared" si="10"/>
        <v>79.166666666666671</v>
      </c>
      <c r="H1053" s="39">
        <f t="shared" si="10"/>
        <v>400</v>
      </c>
      <c r="I1053" s="38">
        <f t="shared" si="10"/>
        <v>695</v>
      </c>
      <c r="J1053" s="38">
        <f t="shared" si="10"/>
        <v>33.333333333333336</v>
      </c>
      <c r="K1053" s="36"/>
      <c r="L1053" s="36"/>
      <c r="M1053" s="36"/>
      <c r="N1053" s="36"/>
      <c r="O1053" s="36"/>
      <c r="P1053" s="36"/>
      <c r="Q1053" s="36"/>
      <c r="R1053" s="36"/>
      <c r="S1053" s="36"/>
      <c r="T1053" s="36"/>
    </row>
    <row r="1054" spans="1:20" ht="15">
      <c r="A1054" s="3">
        <v>2019</v>
      </c>
      <c r="B1054" s="3">
        <f t="shared" si="8"/>
        <v>365</v>
      </c>
      <c r="C1054" s="38">
        <f t="shared" ref="C1054:J1054" si="11">AVERAGE(C65:C76)</f>
        <v>154.75825</v>
      </c>
      <c r="D1054" s="38">
        <f t="shared" si="11"/>
        <v>281.0162499999999</v>
      </c>
      <c r="E1054" s="38">
        <f t="shared" si="11"/>
        <v>780.7254999999999</v>
      </c>
      <c r="F1054" s="38">
        <f t="shared" si="11"/>
        <v>1216.5</v>
      </c>
      <c r="G1054" s="38">
        <f t="shared" si="11"/>
        <v>79.166666666666671</v>
      </c>
      <c r="H1054" s="39">
        <f t="shared" si="11"/>
        <v>400</v>
      </c>
      <c r="I1054" s="38">
        <f t="shared" si="11"/>
        <v>695</v>
      </c>
      <c r="J1054" s="38">
        <f t="shared" si="11"/>
        <v>33.333333333333336</v>
      </c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</row>
    <row r="1055" spans="1:20" ht="15">
      <c r="A1055" s="3">
        <v>2020</v>
      </c>
      <c r="B1055" s="3">
        <f t="shared" si="8"/>
        <v>366</v>
      </c>
      <c r="C1055" s="38">
        <f t="shared" ref="C1055:J1055" si="12">AVERAGE(C77:C88)</f>
        <v>154.75825</v>
      </c>
      <c r="D1055" s="38">
        <f t="shared" si="12"/>
        <v>281.0162499999999</v>
      </c>
      <c r="E1055" s="38">
        <f t="shared" si="12"/>
        <v>780.7254999999999</v>
      </c>
      <c r="F1055" s="38">
        <f t="shared" si="12"/>
        <v>1216.5</v>
      </c>
      <c r="G1055" s="38">
        <f t="shared" si="12"/>
        <v>79.166666666666671</v>
      </c>
      <c r="H1055" s="39">
        <f t="shared" si="12"/>
        <v>533.33333333333337</v>
      </c>
      <c r="I1055" s="38">
        <f t="shared" si="12"/>
        <v>695</v>
      </c>
      <c r="J1055" s="38">
        <f t="shared" si="12"/>
        <v>33.333333333333336</v>
      </c>
      <c r="K1055" s="36"/>
      <c r="L1055" s="36"/>
      <c r="M1055" s="36"/>
      <c r="N1055" s="36"/>
      <c r="O1055" s="36"/>
      <c r="P1055" s="36"/>
      <c r="Q1055" s="36"/>
      <c r="R1055" s="36"/>
      <c r="S1055" s="36"/>
      <c r="T1055" s="36"/>
    </row>
    <row r="1056" spans="1:20" ht="15">
      <c r="A1056" s="3">
        <v>2021</v>
      </c>
      <c r="B1056" s="3">
        <f t="shared" si="8"/>
        <v>365</v>
      </c>
      <c r="C1056" s="38">
        <f t="shared" ref="C1056:J1056" si="13">AVERAGE(C89:C100)</f>
        <v>154.75825</v>
      </c>
      <c r="D1056" s="38">
        <f t="shared" si="13"/>
        <v>281.0162499999999</v>
      </c>
      <c r="E1056" s="38">
        <f t="shared" si="13"/>
        <v>780.7254999999999</v>
      </c>
      <c r="F1056" s="38">
        <f t="shared" si="13"/>
        <v>1216.5</v>
      </c>
      <c r="G1056" s="38">
        <f t="shared" si="13"/>
        <v>79.166666666666671</v>
      </c>
      <c r="H1056" s="39">
        <f t="shared" si="13"/>
        <v>600</v>
      </c>
      <c r="I1056" s="38">
        <f t="shared" si="13"/>
        <v>695</v>
      </c>
      <c r="J1056" s="38">
        <f t="shared" si="13"/>
        <v>33.333333333333336</v>
      </c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</row>
    <row r="1057" spans="1:20" ht="15">
      <c r="A1057" s="3">
        <v>2022</v>
      </c>
      <c r="B1057" s="3">
        <f t="shared" si="8"/>
        <v>365</v>
      </c>
      <c r="C1057" s="38">
        <f t="shared" ref="C1057:J1057" si="14">AVERAGE(C101:C112)</f>
        <v>154.75825</v>
      </c>
      <c r="D1057" s="38">
        <f t="shared" si="14"/>
        <v>281.0162499999999</v>
      </c>
      <c r="E1057" s="38">
        <f t="shared" si="14"/>
        <v>780.7254999999999</v>
      </c>
      <c r="F1057" s="38">
        <f t="shared" si="14"/>
        <v>1216.5</v>
      </c>
      <c r="G1057" s="38">
        <f t="shared" si="14"/>
        <v>79.166666666666671</v>
      </c>
      <c r="H1057" s="39">
        <f t="shared" si="14"/>
        <v>600</v>
      </c>
      <c r="I1057" s="38">
        <f t="shared" si="14"/>
        <v>695</v>
      </c>
      <c r="J1057" s="38">
        <f t="shared" si="14"/>
        <v>33.333333333333336</v>
      </c>
      <c r="K1057" s="36"/>
      <c r="L1057" s="36"/>
      <c r="M1057" s="36"/>
      <c r="N1057" s="36"/>
      <c r="O1057" s="36"/>
      <c r="P1057" s="36"/>
      <c r="Q1057" s="36"/>
      <c r="R1057" s="36"/>
      <c r="S1057" s="36"/>
      <c r="T1057" s="36"/>
    </row>
    <row r="1058" spans="1:20" ht="15">
      <c r="A1058" s="3">
        <v>2023</v>
      </c>
      <c r="B1058" s="3">
        <f t="shared" si="8"/>
        <v>365</v>
      </c>
      <c r="C1058" s="38">
        <f t="shared" ref="C1058:J1058" si="15">AVERAGE(C113:C124)</f>
        <v>154.75825</v>
      </c>
      <c r="D1058" s="38">
        <f t="shared" si="15"/>
        <v>281.0162499999999</v>
      </c>
      <c r="E1058" s="38">
        <f t="shared" si="15"/>
        <v>780.7254999999999</v>
      </c>
      <c r="F1058" s="38">
        <f t="shared" si="15"/>
        <v>1216.5</v>
      </c>
      <c r="G1058" s="38">
        <f t="shared" si="15"/>
        <v>79.166666666666671</v>
      </c>
      <c r="H1058" s="39">
        <f t="shared" si="15"/>
        <v>600</v>
      </c>
      <c r="I1058" s="38">
        <f t="shared" si="15"/>
        <v>695</v>
      </c>
      <c r="J1058" s="38">
        <f t="shared" si="15"/>
        <v>33.333333333333336</v>
      </c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</row>
    <row r="1059" spans="1:20" ht="15">
      <c r="A1059" s="3">
        <v>2024</v>
      </c>
      <c r="B1059" s="3">
        <f t="shared" si="8"/>
        <v>366</v>
      </c>
      <c r="C1059" s="38">
        <f t="shared" ref="C1059:J1059" si="16">AVERAGE(C125:C136)</f>
        <v>154.75825</v>
      </c>
      <c r="D1059" s="38">
        <f t="shared" si="16"/>
        <v>281.0162499999999</v>
      </c>
      <c r="E1059" s="38">
        <f t="shared" si="16"/>
        <v>780.7254999999999</v>
      </c>
      <c r="F1059" s="38">
        <f t="shared" si="16"/>
        <v>1216.5</v>
      </c>
      <c r="G1059" s="38">
        <f t="shared" si="16"/>
        <v>79.166666666666671</v>
      </c>
      <c r="H1059" s="39">
        <f t="shared" si="16"/>
        <v>600</v>
      </c>
      <c r="I1059" s="38">
        <f t="shared" si="16"/>
        <v>695</v>
      </c>
      <c r="J1059" s="38">
        <f t="shared" si="16"/>
        <v>33.333333333333336</v>
      </c>
      <c r="K1059" s="36"/>
      <c r="L1059" s="36"/>
      <c r="M1059" s="36"/>
      <c r="N1059" s="36"/>
      <c r="O1059" s="36"/>
      <c r="P1059" s="36"/>
      <c r="Q1059" s="36"/>
      <c r="R1059" s="36"/>
      <c r="S1059" s="36"/>
      <c r="T1059" s="36"/>
    </row>
    <row r="1060" spans="1:20" ht="15">
      <c r="A1060" s="3">
        <v>2025</v>
      </c>
      <c r="B1060" s="3">
        <f t="shared" si="8"/>
        <v>365</v>
      </c>
      <c r="C1060" s="38">
        <f t="shared" ref="C1060:J1060" si="17">AVERAGE(C137:C148)</f>
        <v>154.75825</v>
      </c>
      <c r="D1060" s="38">
        <f t="shared" si="17"/>
        <v>281.0162499999999</v>
      </c>
      <c r="E1060" s="38">
        <f t="shared" si="17"/>
        <v>780.7254999999999</v>
      </c>
      <c r="F1060" s="38">
        <f t="shared" si="17"/>
        <v>1216.5</v>
      </c>
      <c r="G1060" s="38">
        <f t="shared" si="17"/>
        <v>79.166666666666671</v>
      </c>
      <c r="H1060" s="39">
        <f t="shared" si="17"/>
        <v>600</v>
      </c>
      <c r="I1060" s="38">
        <f t="shared" si="17"/>
        <v>695</v>
      </c>
      <c r="J1060" s="38">
        <f t="shared" si="17"/>
        <v>33.333333333333336</v>
      </c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</row>
    <row r="1061" spans="1:20" ht="15">
      <c r="A1061" s="3">
        <v>2026</v>
      </c>
      <c r="B1061" s="3">
        <f t="shared" si="8"/>
        <v>365</v>
      </c>
      <c r="C1061" s="38">
        <f t="shared" ref="C1061:J1061" si="18">AVERAGE(C149:C160)</f>
        <v>154.75825</v>
      </c>
      <c r="D1061" s="38">
        <f t="shared" si="18"/>
        <v>281.0162499999999</v>
      </c>
      <c r="E1061" s="38">
        <f t="shared" si="18"/>
        <v>780.7254999999999</v>
      </c>
      <c r="F1061" s="38">
        <f t="shared" si="18"/>
        <v>1216.5</v>
      </c>
      <c r="G1061" s="38">
        <f t="shared" si="18"/>
        <v>79.166666666666671</v>
      </c>
      <c r="H1061" s="39">
        <f t="shared" si="18"/>
        <v>600</v>
      </c>
      <c r="I1061" s="38">
        <f t="shared" si="18"/>
        <v>695</v>
      </c>
      <c r="J1061" s="38">
        <f t="shared" si="18"/>
        <v>33.333333333333336</v>
      </c>
      <c r="K1061" s="36"/>
      <c r="L1061" s="36"/>
      <c r="M1061" s="36"/>
      <c r="N1061" s="36"/>
      <c r="O1061" s="36"/>
      <c r="P1061" s="36"/>
      <c r="Q1061" s="36"/>
      <c r="R1061" s="36"/>
      <c r="S1061" s="36"/>
      <c r="T1061" s="36"/>
    </row>
    <row r="1062" spans="1:20" ht="15">
      <c r="A1062" s="3">
        <v>2027</v>
      </c>
      <c r="B1062" s="3">
        <f t="shared" si="8"/>
        <v>365</v>
      </c>
      <c r="C1062" s="38">
        <f t="shared" ref="C1062:J1062" si="19">AVERAGE(C161:C172)</f>
        <v>154.75825</v>
      </c>
      <c r="D1062" s="38">
        <f t="shared" si="19"/>
        <v>281.0162499999999</v>
      </c>
      <c r="E1062" s="38">
        <f t="shared" si="19"/>
        <v>780.7254999999999</v>
      </c>
      <c r="F1062" s="38">
        <f t="shared" si="19"/>
        <v>1216.5</v>
      </c>
      <c r="G1062" s="38">
        <f t="shared" si="19"/>
        <v>79.166666666666671</v>
      </c>
      <c r="H1062" s="39">
        <f t="shared" si="19"/>
        <v>600</v>
      </c>
      <c r="I1062" s="38">
        <f t="shared" si="19"/>
        <v>695</v>
      </c>
      <c r="J1062" s="38">
        <f t="shared" si="19"/>
        <v>33.333333333333336</v>
      </c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</row>
    <row r="1063" spans="1:20" ht="15">
      <c r="A1063" s="3">
        <v>2028</v>
      </c>
      <c r="B1063" s="3">
        <f t="shared" si="8"/>
        <v>366</v>
      </c>
      <c r="C1063" s="38">
        <f t="shared" ref="C1063:J1063" si="20">AVERAGE(C173:C184)</f>
        <v>154.75825</v>
      </c>
      <c r="D1063" s="38">
        <f t="shared" si="20"/>
        <v>281.0162499999999</v>
      </c>
      <c r="E1063" s="38">
        <f t="shared" si="20"/>
        <v>780.7254999999999</v>
      </c>
      <c r="F1063" s="38">
        <f t="shared" si="20"/>
        <v>1216.5</v>
      </c>
      <c r="G1063" s="38">
        <f t="shared" si="20"/>
        <v>79.166666666666671</v>
      </c>
      <c r="H1063" s="39">
        <f t="shared" si="20"/>
        <v>600</v>
      </c>
      <c r="I1063" s="38">
        <f t="shared" si="20"/>
        <v>695</v>
      </c>
      <c r="J1063" s="38">
        <f t="shared" si="20"/>
        <v>33.333333333333336</v>
      </c>
      <c r="K1063" s="36"/>
      <c r="L1063" s="36"/>
      <c r="M1063" s="36"/>
      <c r="N1063" s="36"/>
      <c r="O1063" s="36"/>
      <c r="P1063" s="36"/>
      <c r="Q1063" s="36"/>
      <c r="R1063" s="36"/>
      <c r="S1063" s="36"/>
      <c r="T1063" s="36"/>
    </row>
    <row r="1064" spans="1:20" ht="15">
      <c r="A1064" s="3">
        <v>2029</v>
      </c>
      <c r="B1064" s="3">
        <f t="shared" si="8"/>
        <v>365</v>
      </c>
      <c r="C1064" s="38">
        <f t="shared" ref="C1064:J1064" si="21">AVERAGE(C185:C196)</f>
        <v>154.75825</v>
      </c>
      <c r="D1064" s="38">
        <f t="shared" si="21"/>
        <v>281.0162499999999</v>
      </c>
      <c r="E1064" s="38">
        <f t="shared" si="21"/>
        <v>780.7254999999999</v>
      </c>
      <c r="F1064" s="38">
        <f t="shared" si="21"/>
        <v>1216.5</v>
      </c>
      <c r="G1064" s="38">
        <f t="shared" si="21"/>
        <v>79.166666666666671</v>
      </c>
      <c r="H1064" s="39">
        <f t="shared" si="21"/>
        <v>600</v>
      </c>
      <c r="I1064" s="38">
        <f t="shared" si="21"/>
        <v>695</v>
      </c>
      <c r="J1064" s="38">
        <f t="shared" si="21"/>
        <v>33.333333333333336</v>
      </c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</row>
    <row r="1065" spans="1:20" ht="15">
      <c r="A1065" s="3">
        <v>2030</v>
      </c>
      <c r="B1065" s="3">
        <f t="shared" si="8"/>
        <v>365</v>
      </c>
      <c r="C1065" s="38">
        <f t="shared" ref="C1065:J1065" si="22">AVERAGE(C197:C208)</f>
        <v>154.75825</v>
      </c>
      <c r="D1065" s="38">
        <f t="shared" si="22"/>
        <v>281.0162499999999</v>
      </c>
      <c r="E1065" s="38">
        <f t="shared" si="22"/>
        <v>780.7254999999999</v>
      </c>
      <c r="F1065" s="38">
        <f t="shared" si="22"/>
        <v>1216.5</v>
      </c>
      <c r="G1065" s="38">
        <f t="shared" si="22"/>
        <v>79.166666666666671</v>
      </c>
      <c r="H1065" s="39">
        <f t="shared" si="22"/>
        <v>600</v>
      </c>
      <c r="I1065" s="38">
        <f t="shared" si="22"/>
        <v>695</v>
      </c>
      <c r="J1065" s="38">
        <f t="shared" si="22"/>
        <v>33.333333333333336</v>
      </c>
      <c r="K1065" s="36"/>
      <c r="L1065" s="36"/>
      <c r="M1065" s="36"/>
      <c r="N1065" s="36"/>
      <c r="O1065" s="36"/>
      <c r="P1065" s="36"/>
      <c r="Q1065" s="36"/>
      <c r="R1065" s="36"/>
      <c r="S1065" s="36"/>
      <c r="T1065" s="36"/>
    </row>
    <row r="1066" spans="1:20" ht="15">
      <c r="A1066" s="3">
        <v>2031</v>
      </c>
      <c r="B1066" s="3">
        <f t="shared" si="8"/>
        <v>365</v>
      </c>
      <c r="C1066" s="38">
        <f t="shared" ref="C1066:J1066" si="23">AVERAGE(C209:C220)</f>
        <v>154.75825</v>
      </c>
      <c r="D1066" s="38">
        <f t="shared" si="23"/>
        <v>281.0162499999999</v>
      </c>
      <c r="E1066" s="38">
        <f t="shared" si="23"/>
        <v>780.7254999999999</v>
      </c>
      <c r="F1066" s="38">
        <f t="shared" si="23"/>
        <v>1216.5</v>
      </c>
      <c r="G1066" s="38">
        <f t="shared" si="23"/>
        <v>79.166666666666671</v>
      </c>
      <c r="H1066" s="39">
        <f t="shared" si="23"/>
        <v>600</v>
      </c>
      <c r="I1066" s="38">
        <f t="shared" si="23"/>
        <v>695</v>
      </c>
      <c r="J1066" s="38">
        <f t="shared" si="23"/>
        <v>33.333333333333336</v>
      </c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</row>
    <row r="1067" spans="1:20" ht="15">
      <c r="A1067" s="3">
        <v>2032</v>
      </c>
      <c r="B1067" s="3">
        <f t="shared" si="8"/>
        <v>366</v>
      </c>
      <c r="C1067" s="38">
        <f t="shared" ref="C1067:J1067" si="24">AVERAGE(C221:C232)</f>
        <v>154.75825</v>
      </c>
      <c r="D1067" s="38">
        <f t="shared" si="24"/>
        <v>281.0162499999999</v>
      </c>
      <c r="E1067" s="38">
        <f t="shared" si="24"/>
        <v>780.7254999999999</v>
      </c>
      <c r="F1067" s="38">
        <f t="shared" si="24"/>
        <v>1216.5</v>
      </c>
      <c r="G1067" s="38">
        <f t="shared" si="24"/>
        <v>79.166666666666671</v>
      </c>
      <c r="H1067" s="39">
        <f t="shared" si="24"/>
        <v>600</v>
      </c>
      <c r="I1067" s="38">
        <f t="shared" si="24"/>
        <v>695</v>
      </c>
      <c r="J1067" s="38">
        <f t="shared" si="24"/>
        <v>33.333333333333336</v>
      </c>
      <c r="K1067" s="36"/>
      <c r="L1067" s="36"/>
      <c r="M1067" s="36"/>
      <c r="N1067" s="36"/>
      <c r="O1067" s="36"/>
      <c r="P1067" s="36"/>
      <c r="Q1067" s="36"/>
      <c r="R1067" s="36"/>
      <c r="S1067" s="36"/>
      <c r="T1067" s="36"/>
    </row>
    <row r="1068" spans="1:20" ht="15">
      <c r="A1068" s="3">
        <v>2033</v>
      </c>
      <c r="B1068" s="3">
        <f t="shared" si="8"/>
        <v>365</v>
      </c>
      <c r="C1068" s="38">
        <f t="shared" ref="C1068:J1068" si="25">AVERAGE(C233:C244)</f>
        <v>154.75825</v>
      </c>
      <c r="D1068" s="38">
        <f t="shared" si="25"/>
        <v>281.0162499999999</v>
      </c>
      <c r="E1068" s="38">
        <f t="shared" si="25"/>
        <v>780.7254999999999</v>
      </c>
      <c r="F1068" s="38">
        <f t="shared" si="25"/>
        <v>1216.5</v>
      </c>
      <c r="G1068" s="38">
        <f t="shared" si="25"/>
        <v>79.166666666666671</v>
      </c>
      <c r="H1068" s="39">
        <f t="shared" si="25"/>
        <v>600</v>
      </c>
      <c r="I1068" s="38">
        <f t="shared" si="25"/>
        <v>695</v>
      </c>
      <c r="J1068" s="38">
        <f t="shared" si="25"/>
        <v>33.333333333333336</v>
      </c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</row>
    <row r="1069" spans="1:20" ht="15">
      <c r="A1069" s="3">
        <v>2034</v>
      </c>
      <c r="B1069" s="3">
        <f t="shared" si="8"/>
        <v>365</v>
      </c>
      <c r="C1069" s="38">
        <f t="shared" ref="C1069:J1069" si="26">AVERAGE(C245:C256)</f>
        <v>154.75825</v>
      </c>
      <c r="D1069" s="38">
        <f t="shared" si="26"/>
        <v>281.0162499999999</v>
      </c>
      <c r="E1069" s="38">
        <f t="shared" si="26"/>
        <v>780.7254999999999</v>
      </c>
      <c r="F1069" s="38">
        <f t="shared" si="26"/>
        <v>1216.5</v>
      </c>
      <c r="G1069" s="38">
        <f t="shared" si="26"/>
        <v>79.166666666666671</v>
      </c>
      <c r="H1069" s="39">
        <f t="shared" si="26"/>
        <v>600</v>
      </c>
      <c r="I1069" s="38">
        <f t="shared" si="26"/>
        <v>695</v>
      </c>
      <c r="J1069" s="38">
        <f t="shared" si="26"/>
        <v>33.333333333333336</v>
      </c>
      <c r="K1069" s="36"/>
      <c r="L1069" s="36"/>
      <c r="M1069" s="36"/>
      <c r="N1069" s="36"/>
      <c r="O1069" s="36"/>
      <c r="P1069" s="36"/>
      <c r="Q1069" s="36"/>
      <c r="R1069" s="36"/>
      <c r="S1069" s="36"/>
      <c r="T1069" s="36"/>
    </row>
    <row r="1070" spans="1:20" ht="15">
      <c r="A1070" s="3">
        <v>2035</v>
      </c>
      <c r="B1070" s="3">
        <f t="shared" si="8"/>
        <v>365</v>
      </c>
      <c r="C1070" s="38">
        <f t="shared" ref="C1070:J1070" si="27">AVERAGE(C257:C268)</f>
        <v>154.75825</v>
      </c>
      <c r="D1070" s="38">
        <f t="shared" si="27"/>
        <v>281.0162499999999</v>
      </c>
      <c r="E1070" s="38">
        <f t="shared" si="27"/>
        <v>780.7254999999999</v>
      </c>
      <c r="F1070" s="38">
        <f t="shared" si="27"/>
        <v>1216.5</v>
      </c>
      <c r="G1070" s="38">
        <f t="shared" si="27"/>
        <v>79.166666666666671</v>
      </c>
      <c r="H1070" s="39">
        <f t="shared" si="27"/>
        <v>600</v>
      </c>
      <c r="I1070" s="38">
        <f t="shared" si="27"/>
        <v>695</v>
      </c>
      <c r="J1070" s="38">
        <f t="shared" si="27"/>
        <v>33.333333333333336</v>
      </c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</row>
    <row r="1071" spans="1:20" ht="15">
      <c r="A1071" s="3">
        <v>2036</v>
      </c>
      <c r="B1071" s="3">
        <f t="shared" si="8"/>
        <v>366</v>
      </c>
      <c r="C1071" s="38">
        <f t="shared" ref="C1071:J1071" si="28">AVERAGE(C269:C280)</f>
        <v>154.75825</v>
      </c>
      <c r="D1071" s="38">
        <f t="shared" si="28"/>
        <v>281.0162499999999</v>
      </c>
      <c r="E1071" s="38">
        <f t="shared" si="28"/>
        <v>780.7254999999999</v>
      </c>
      <c r="F1071" s="38">
        <f t="shared" si="28"/>
        <v>1216.5</v>
      </c>
      <c r="G1071" s="38">
        <f t="shared" si="28"/>
        <v>79.166666666666671</v>
      </c>
      <c r="H1071" s="39">
        <f t="shared" si="28"/>
        <v>600</v>
      </c>
      <c r="I1071" s="38">
        <f t="shared" si="28"/>
        <v>695</v>
      </c>
      <c r="J1071" s="38">
        <f t="shared" si="28"/>
        <v>33.333333333333336</v>
      </c>
      <c r="K1071" s="36"/>
      <c r="L1071" s="36"/>
      <c r="M1071" s="36"/>
      <c r="N1071" s="36"/>
      <c r="O1071" s="36"/>
      <c r="P1071" s="36"/>
      <c r="Q1071" s="36"/>
      <c r="R1071" s="36"/>
      <c r="S1071" s="36"/>
      <c r="T1071" s="36"/>
    </row>
    <row r="1072" spans="1:20" ht="15">
      <c r="A1072" s="3">
        <v>2037</v>
      </c>
      <c r="B1072" s="3">
        <f t="shared" si="8"/>
        <v>365</v>
      </c>
      <c r="C1072" s="38">
        <f t="shared" ref="C1072:J1072" si="29">AVERAGE(C281:C292)</f>
        <v>154.75825</v>
      </c>
      <c r="D1072" s="38">
        <f t="shared" si="29"/>
        <v>281.0162499999999</v>
      </c>
      <c r="E1072" s="38">
        <f t="shared" si="29"/>
        <v>780.7254999999999</v>
      </c>
      <c r="F1072" s="38">
        <f t="shared" si="29"/>
        <v>1216.5</v>
      </c>
      <c r="G1072" s="38">
        <f t="shared" si="29"/>
        <v>79.166666666666671</v>
      </c>
      <c r="H1072" s="39">
        <f t="shared" si="29"/>
        <v>600</v>
      </c>
      <c r="I1072" s="38">
        <f t="shared" si="29"/>
        <v>695</v>
      </c>
      <c r="J1072" s="38">
        <f t="shared" si="29"/>
        <v>33.333333333333336</v>
      </c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</row>
    <row r="1073" spans="1:20" ht="15">
      <c r="A1073" s="3">
        <f t="shared" ref="A1073:A1104" si="30">A1072+1</f>
        <v>2038</v>
      </c>
      <c r="B1073" s="3">
        <f t="shared" si="8"/>
        <v>365</v>
      </c>
      <c r="C1073" s="35">
        <f t="shared" ref="C1073:J1073" si="31">AVERAGE(C293:C304)</f>
        <v>154.75825</v>
      </c>
      <c r="D1073" s="35">
        <f t="shared" si="31"/>
        <v>281.0162499999999</v>
      </c>
      <c r="E1073" s="35">
        <f t="shared" si="31"/>
        <v>780.7254999999999</v>
      </c>
      <c r="F1073" s="35">
        <f t="shared" si="31"/>
        <v>1216.5</v>
      </c>
      <c r="G1073" s="35">
        <f t="shared" si="31"/>
        <v>79.166666666666671</v>
      </c>
      <c r="H1073" s="37">
        <f t="shared" si="31"/>
        <v>600</v>
      </c>
      <c r="I1073" s="35">
        <f t="shared" si="31"/>
        <v>695</v>
      </c>
      <c r="J1073" s="35">
        <f t="shared" si="31"/>
        <v>33.333333333333336</v>
      </c>
      <c r="K1073" s="36"/>
      <c r="L1073" s="36"/>
      <c r="M1073" s="36"/>
      <c r="N1073" s="36"/>
      <c r="O1073" s="36"/>
      <c r="P1073" s="36"/>
      <c r="Q1073" s="36"/>
      <c r="R1073" s="36"/>
      <c r="S1073" s="36"/>
      <c r="T1073" s="36"/>
    </row>
    <row r="1074" spans="1:20" ht="15">
      <c r="A1074" s="3">
        <f t="shared" si="30"/>
        <v>2039</v>
      </c>
      <c r="B1074" s="3">
        <f t="shared" si="8"/>
        <v>365</v>
      </c>
      <c r="C1074" s="35">
        <f t="shared" ref="C1074:J1074" si="32">AVERAGE(C305:C316)</f>
        <v>154.75825</v>
      </c>
      <c r="D1074" s="35">
        <f t="shared" si="32"/>
        <v>281.0162499999999</v>
      </c>
      <c r="E1074" s="35">
        <f t="shared" si="32"/>
        <v>780.7254999999999</v>
      </c>
      <c r="F1074" s="35">
        <f t="shared" si="32"/>
        <v>1216.5</v>
      </c>
      <c r="G1074" s="35">
        <f t="shared" si="32"/>
        <v>79.166666666666671</v>
      </c>
      <c r="H1074" s="37">
        <f t="shared" si="32"/>
        <v>600</v>
      </c>
      <c r="I1074" s="35">
        <f t="shared" si="32"/>
        <v>695</v>
      </c>
      <c r="J1074" s="35">
        <f t="shared" si="32"/>
        <v>33.333333333333336</v>
      </c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</row>
    <row r="1075" spans="1:20" ht="15">
      <c r="A1075" s="3">
        <f t="shared" si="30"/>
        <v>2040</v>
      </c>
      <c r="B1075" s="3">
        <f t="shared" si="8"/>
        <v>366</v>
      </c>
      <c r="C1075" s="35">
        <f t="shared" ref="C1075:J1075" si="33">AVERAGE(C317:C328)</f>
        <v>154.75825</v>
      </c>
      <c r="D1075" s="35">
        <f t="shared" si="33"/>
        <v>281.0162499999999</v>
      </c>
      <c r="E1075" s="35">
        <f t="shared" si="33"/>
        <v>780.7254999999999</v>
      </c>
      <c r="F1075" s="35">
        <f t="shared" si="33"/>
        <v>1216.5</v>
      </c>
      <c r="G1075" s="35">
        <f t="shared" si="33"/>
        <v>79.166666666666671</v>
      </c>
      <c r="H1075" s="37">
        <f t="shared" si="33"/>
        <v>600</v>
      </c>
      <c r="I1075" s="35">
        <f t="shared" si="33"/>
        <v>695</v>
      </c>
      <c r="J1075" s="35">
        <f t="shared" si="33"/>
        <v>33.333333333333336</v>
      </c>
      <c r="K1075" s="36"/>
      <c r="L1075" s="36"/>
      <c r="M1075" s="36"/>
      <c r="N1075" s="36"/>
      <c r="O1075" s="36"/>
      <c r="P1075" s="36"/>
      <c r="Q1075" s="36"/>
      <c r="R1075" s="36"/>
      <c r="S1075" s="36"/>
      <c r="T1075" s="36"/>
    </row>
    <row r="1076" spans="1:20" ht="15">
      <c r="A1076" s="3">
        <f t="shared" si="30"/>
        <v>2041</v>
      </c>
      <c r="B1076" s="3">
        <f t="shared" si="8"/>
        <v>365</v>
      </c>
      <c r="C1076" s="35">
        <f t="shared" ref="C1076:J1076" si="34">AVERAGE(C329:C340)</f>
        <v>154.75825</v>
      </c>
      <c r="D1076" s="35">
        <f t="shared" si="34"/>
        <v>281.0162499999999</v>
      </c>
      <c r="E1076" s="35">
        <f t="shared" si="34"/>
        <v>780.7254999999999</v>
      </c>
      <c r="F1076" s="35">
        <f t="shared" si="34"/>
        <v>1216.5</v>
      </c>
      <c r="G1076" s="35">
        <f t="shared" si="34"/>
        <v>79.166666666666671</v>
      </c>
      <c r="H1076" s="37">
        <f t="shared" si="34"/>
        <v>600</v>
      </c>
      <c r="I1076" s="35">
        <f t="shared" si="34"/>
        <v>695</v>
      </c>
      <c r="J1076" s="35">
        <f t="shared" si="34"/>
        <v>33.333333333333336</v>
      </c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</row>
    <row r="1077" spans="1:20" ht="15">
      <c r="A1077" s="3">
        <f t="shared" si="30"/>
        <v>2042</v>
      </c>
      <c r="B1077" s="3">
        <f t="shared" si="8"/>
        <v>365</v>
      </c>
      <c r="C1077" s="35">
        <f t="shared" ref="C1077:J1077" si="35">AVERAGE(C341:C352)</f>
        <v>154.75825</v>
      </c>
      <c r="D1077" s="35">
        <f t="shared" si="35"/>
        <v>281.0162499999999</v>
      </c>
      <c r="E1077" s="35">
        <f t="shared" si="35"/>
        <v>780.7254999999999</v>
      </c>
      <c r="F1077" s="35">
        <f t="shared" si="35"/>
        <v>1216.5</v>
      </c>
      <c r="G1077" s="35">
        <f t="shared" si="35"/>
        <v>79.166666666666671</v>
      </c>
      <c r="H1077" s="37">
        <f t="shared" si="35"/>
        <v>600</v>
      </c>
      <c r="I1077" s="35">
        <f t="shared" si="35"/>
        <v>695</v>
      </c>
      <c r="J1077" s="35">
        <f t="shared" si="35"/>
        <v>33.333333333333336</v>
      </c>
      <c r="K1077" s="36"/>
      <c r="L1077" s="36"/>
      <c r="M1077" s="36"/>
      <c r="N1077" s="36"/>
      <c r="O1077" s="36"/>
      <c r="P1077" s="36"/>
      <c r="Q1077" s="36"/>
      <c r="R1077" s="36"/>
      <c r="S1077" s="36"/>
      <c r="T1077" s="36"/>
    </row>
    <row r="1078" spans="1:20" ht="15">
      <c r="A1078" s="3">
        <f t="shared" si="30"/>
        <v>2043</v>
      </c>
      <c r="B1078" s="3">
        <f t="shared" si="8"/>
        <v>365</v>
      </c>
      <c r="C1078" s="35">
        <f t="shared" ref="C1078:J1078" si="36">AVERAGE(C353:C364)</f>
        <v>154.75825</v>
      </c>
      <c r="D1078" s="35">
        <f t="shared" si="36"/>
        <v>281.0162499999999</v>
      </c>
      <c r="E1078" s="35">
        <f t="shared" si="36"/>
        <v>780.7254999999999</v>
      </c>
      <c r="F1078" s="35">
        <f t="shared" si="36"/>
        <v>1216.5</v>
      </c>
      <c r="G1078" s="35">
        <f t="shared" si="36"/>
        <v>79.166666666666671</v>
      </c>
      <c r="H1078" s="37">
        <f t="shared" si="36"/>
        <v>600</v>
      </c>
      <c r="I1078" s="35">
        <f t="shared" si="36"/>
        <v>695</v>
      </c>
      <c r="J1078" s="35">
        <f t="shared" si="36"/>
        <v>33.333333333333336</v>
      </c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</row>
    <row r="1079" spans="1:20" ht="15">
      <c r="A1079" s="3">
        <f t="shared" si="30"/>
        <v>2044</v>
      </c>
      <c r="B1079" s="3">
        <f t="shared" si="8"/>
        <v>366</v>
      </c>
      <c r="C1079" s="35">
        <f t="shared" ref="C1079:J1079" si="37">AVERAGE(C365:C376)</f>
        <v>154.75825</v>
      </c>
      <c r="D1079" s="35">
        <f t="shared" si="37"/>
        <v>281.0162499999999</v>
      </c>
      <c r="E1079" s="35">
        <f t="shared" si="37"/>
        <v>780.7254999999999</v>
      </c>
      <c r="F1079" s="35">
        <f t="shared" si="37"/>
        <v>1216.5</v>
      </c>
      <c r="G1079" s="35">
        <f t="shared" si="37"/>
        <v>79.166666666666671</v>
      </c>
      <c r="H1079" s="37">
        <f t="shared" si="37"/>
        <v>600</v>
      </c>
      <c r="I1079" s="35">
        <f t="shared" si="37"/>
        <v>695</v>
      </c>
      <c r="J1079" s="35">
        <f t="shared" si="37"/>
        <v>33.333333333333336</v>
      </c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</row>
    <row r="1080" spans="1:20" ht="15">
      <c r="A1080" s="3">
        <f t="shared" si="30"/>
        <v>2045</v>
      </c>
      <c r="B1080" s="3">
        <f t="shared" si="8"/>
        <v>365</v>
      </c>
      <c r="C1080" s="35">
        <f t="shared" ref="C1080:J1080" si="38">AVERAGE(C377:C388)</f>
        <v>154.75825</v>
      </c>
      <c r="D1080" s="35">
        <f t="shared" si="38"/>
        <v>281.0162499999999</v>
      </c>
      <c r="E1080" s="35">
        <f t="shared" si="38"/>
        <v>780.7254999999999</v>
      </c>
      <c r="F1080" s="35">
        <f t="shared" si="38"/>
        <v>1216.5</v>
      </c>
      <c r="G1080" s="35">
        <f t="shared" si="38"/>
        <v>79.166666666666671</v>
      </c>
      <c r="H1080" s="37">
        <f t="shared" si="38"/>
        <v>600</v>
      </c>
      <c r="I1080" s="35">
        <f t="shared" si="38"/>
        <v>695</v>
      </c>
      <c r="J1080" s="35">
        <f t="shared" si="38"/>
        <v>33.333333333333336</v>
      </c>
      <c r="K1080" s="36"/>
      <c r="L1080" s="36"/>
      <c r="M1080" s="36"/>
      <c r="N1080" s="36"/>
      <c r="O1080" s="36"/>
      <c r="P1080" s="36"/>
      <c r="Q1080" s="36"/>
      <c r="R1080" s="36"/>
      <c r="S1080" s="36"/>
      <c r="T1080" s="36"/>
    </row>
    <row r="1081" spans="1:20" ht="15">
      <c r="A1081" s="3">
        <f t="shared" si="30"/>
        <v>2046</v>
      </c>
      <c r="B1081" s="3">
        <f t="shared" si="8"/>
        <v>365</v>
      </c>
      <c r="C1081" s="35">
        <f t="shared" ref="C1081:J1081" si="39">AVERAGE(C389:C400)</f>
        <v>154.75825</v>
      </c>
      <c r="D1081" s="35">
        <f t="shared" si="39"/>
        <v>281.0162499999999</v>
      </c>
      <c r="E1081" s="35">
        <f t="shared" si="39"/>
        <v>780.7254999999999</v>
      </c>
      <c r="F1081" s="35">
        <f t="shared" si="39"/>
        <v>1216.5</v>
      </c>
      <c r="G1081" s="35">
        <f t="shared" si="39"/>
        <v>79.166666666666671</v>
      </c>
      <c r="H1081" s="37">
        <f t="shared" si="39"/>
        <v>600</v>
      </c>
      <c r="I1081" s="35">
        <f t="shared" si="39"/>
        <v>695</v>
      </c>
      <c r="J1081" s="35">
        <f t="shared" si="39"/>
        <v>33.333333333333336</v>
      </c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</row>
    <row r="1082" spans="1:20" ht="15">
      <c r="A1082" s="3">
        <f t="shared" si="30"/>
        <v>2047</v>
      </c>
      <c r="B1082" s="3">
        <f t="shared" ref="B1082:B1113" si="40">DATE(A1082+1,1,1)-DATE(A1082,1,1)</f>
        <v>365</v>
      </c>
      <c r="C1082" s="35">
        <f t="shared" ref="C1082:J1082" si="41">AVERAGE(C401:C412)</f>
        <v>154.75825</v>
      </c>
      <c r="D1082" s="35">
        <f t="shared" si="41"/>
        <v>281.0162499999999</v>
      </c>
      <c r="E1082" s="35">
        <f t="shared" si="41"/>
        <v>780.7254999999999</v>
      </c>
      <c r="F1082" s="35">
        <f t="shared" si="41"/>
        <v>1216.5</v>
      </c>
      <c r="G1082" s="35">
        <f t="shared" si="41"/>
        <v>79.166666666666671</v>
      </c>
      <c r="H1082" s="37">
        <f t="shared" si="41"/>
        <v>600</v>
      </c>
      <c r="I1082" s="35">
        <f t="shared" si="41"/>
        <v>695</v>
      </c>
      <c r="J1082" s="35">
        <f t="shared" si="41"/>
        <v>33.333333333333336</v>
      </c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</row>
    <row r="1083" spans="1:20" ht="15">
      <c r="A1083" s="3">
        <f t="shared" si="30"/>
        <v>2048</v>
      </c>
      <c r="B1083" s="3">
        <f t="shared" si="40"/>
        <v>366</v>
      </c>
      <c r="C1083" s="35">
        <f t="shared" ref="C1083:J1083" si="42">AVERAGE(C413:C424)</f>
        <v>154.75825</v>
      </c>
      <c r="D1083" s="35">
        <f t="shared" si="42"/>
        <v>281.0162499999999</v>
      </c>
      <c r="E1083" s="35">
        <f t="shared" si="42"/>
        <v>780.7254999999999</v>
      </c>
      <c r="F1083" s="35">
        <f t="shared" si="42"/>
        <v>1216.5</v>
      </c>
      <c r="G1083" s="35">
        <f t="shared" si="42"/>
        <v>79.166666666666671</v>
      </c>
      <c r="H1083" s="37">
        <f t="shared" si="42"/>
        <v>600</v>
      </c>
      <c r="I1083" s="35">
        <f t="shared" si="42"/>
        <v>695</v>
      </c>
      <c r="J1083" s="35">
        <f t="shared" si="42"/>
        <v>33.333333333333336</v>
      </c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</row>
    <row r="1084" spans="1:20" ht="15">
      <c r="A1084" s="3">
        <f t="shared" si="30"/>
        <v>2049</v>
      </c>
      <c r="B1084" s="3">
        <f t="shared" si="40"/>
        <v>365</v>
      </c>
      <c r="C1084" s="35">
        <f t="shared" ref="C1084:J1084" si="43">AVERAGE(C425:C436)</f>
        <v>154.75825</v>
      </c>
      <c r="D1084" s="35">
        <f t="shared" si="43"/>
        <v>281.0162499999999</v>
      </c>
      <c r="E1084" s="35">
        <f t="shared" si="43"/>
        <v>780.7254999999999</v>
      </c>
      <c r="F1084" s="35">
        <f t="shared" si="43"/>
        <v>1216.5</v>
      </c>
      <c r="G1084" s="35">
        <f t="shared" si="43"/>
        <v>79.166666666666671</v>
      </c>
      <c r="H1084" s="37">
        <f t="shared" si="43"/>
        <v>600</v>
      </c>
      <c r="I1084" s="35">
        <f t="shared" si="43"/>
        <v>695</v>
      </c>
      <c r="J1084" s="35">
        <f t="shared" si="43"/>
        <v>33.333333333333336</v>
      </c>
      <c r="K1084" s="36"/>
      <c r="L1084" s="36"/>
      <c r="M1084" s="36"/>
      <c r="N1084" s="36"/>
      <c r="O1084" s="36"/>
      <c r="P1084" s="36"/>
      <c r="Q1084" s="36"/>
      <c r="R1084" s="36"/>
      <c r="S1084" s="36"/>
      <c r="T1084" s="36"/>
    </row>
    <row r="1085" spans="1:20" ht="15">
      <c r="A1085" s="3">
        <f t="shared" si="30"/>
        <v>2050</v>
      </c>
      <c r="B1085" s="3">
        <f t="shared" si="40"/>
        <v>365</v>
      </c>
      <c r="C1085" s="35">
        <f t="shared" ref="C1085:J1085" si="44">AVERAGE(C437:C448)</f>
        <v>154.75825</v>
      </c>
      <c r="D1085" s="35">
        <f t="shared" si="44"/>
        <v>281.0162499999999</v>
      </c>
      <c r="E1085" s="35">
        <f t="shared" si="44"/>
        <v>780.7254999999999</v>
      </c>
      <c r="F1085" s="35">
        <f t="shared" si="44"/>
        <v>1216.5</v>
      </c>
      <c r="G1085" s="35">
        <f t="shared" si="44"/>
        <v>79.166666666666671</v>
      </c>
      <c r="H1085" s="37">
        <f t="shared" si="44"/>
        <v>600</v>
      </c>
      <c r="I1085" s="35">
        <f t="shared" si="44"/>
        <v>695</v>
      </c>
      <c r="J1085" s="35">
        <f t="shared" si="44"/>
        <v>33.333333333333336</v>
      </c>
      <c r="K1085" s="36"/>
      <c r="L1085" s="36"/>
      <c r="M1085" s="36"/>
      <c r="N1085" s="36"/>
      <c r="O1085" s="36"/>
      <c r="P1085" s="36"/>
      <c r="Q1085" s="36"/>
      <c r="R1085" s="36"/>
      <c r="S1085" s="36"/>
      <c r="T1085" s="36"/>
    </row>
    <row r="1086" spans="1:20" ht="15">
      <c r="A1086" s="3">
        <f t="shared" si="30"/>
        <v>2051</v>
      </c>
      <c r="B1086" s="3">
        <f t="shared" si="40"/>
        <v>365</v>
      </c>
      <c r="C1086" s="35">
        <f t="shared" ref="C1086:J1086" si="45">AVERAGE(C449:C460)</f>
        <v>154.75825</v>
      </c>
      <c r="D1086" s="35">
        <f t="shared" si="45"/>
        <v>281.0162499999999</v>
      </c>
      <c r="E1086" s="35">
        <f t="shared" si="45"/>
        <v>780.7254999999999</v>
      </c>
      <c r="F1086" s="35">
        <f t="shared" si="45"/>
        <v>1216.5</v>
      </c>
      <c r="G1086" s="35">
        <f t="shared" si="45"/>
        <v>79.166666666666671</v>
      </c>
      <c r="H1086" s="37">
        <f t="shared" si="45"/>
        <v>600</v>
      </c>
      <c r="I1086" s="35">
        <f t="shared" si="45"/>
        <v>695</v>
      </c>
      <c r="J1086" s="35">
        <f t="shared" si="45"/>
        <v>33.333333333333336</v>
      </c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</row>
    <row r="1087" spans="1:20" ht="15">
      <c r="A1087" s="3">
        <f t="shared" si="30"/>
        <v>2052</v>
      </c>
      <c r="B1087" s="3">
        <f t="shared" si="40"/>
        <v>366</v>
      </c>
      <c r="C1087" s="35">
        <f t="shared" ref="C1087:J1087" si="46">AVERAGE(C461:C472)</f>
        <v>154.75825</v>
      </c>
      <c r="D1087" s="35">
        <f t="shared" si="46"/>
        <v>281.0162499999999</v>
      </c>
      <c r="E1087" s="35">
        <f t="shared" si="46"/>
        <v>780.7254999999999</v>
      </c>
      <c r="F1087" s="35">
        <f t="shared" si="46"/>
        <v>1216.5</v>
      </c>
      <c r="G1087" s="35">
        <f t="shared" si="46"/>
        <v>79.166666666666671</v>
      </c>
      <c r="H1087" s="37">
        <f t="shared" si="46"/>
        <v>600</v>
      </c>
      <c r="I1087" s="35">
        <f t="shared" si="46"/>
        <v>695</v>
      </c>
      <c r="J1087" s="35">
        <f t="shared" si="46"/>
        <v>33.333333333333336</v>
      </c>
      <c r="K1087" s="36"/>
      <c r="L1087" s="36"/>
      <c r="M1087" s="36"/>
      <c r="N1087" s="36"/>
      <c r="O1087" s="36"/>
      <c r="P1087" s="36"/>
      <c r="Q1087" s="36"/>
      <c r="R1087" s="36"/>
      <c r="S1087" s="36"/>
      <c r="T1087" s="36"/>
    </row>
    <row r="1088" spans="1:20" ht="15">
      <c r="A1088" s="3">
        <f t="shared" si="30"/>
        <v>2053</v>
      </c>
      <c r="B1088" s="3">
        <f t="shared" si="40"/>
        <v>365</v>
      </c>
      <c r="C1088" s="35">
        <f t="shared" ref="C1088:J1088" si="47">AVERAGE(C473:C484)</f>
        <v>154.75825</v>
      </c>
      <c r="D1088" s="35">
        <f t="shared" si="47"/>
        <v>281.0162499999999</v>
      </c>
      <c r="E1088" s="35">
        <f t="shared" si="47"/>
        <v>780.7254999999999</v>
      </c>
      <c r="F1088" s="35">
        <f t="shared" si="47"/>
        <v>1216.5</v>
      </c>
      <c r="G1088" s="35">
        <f t="shared" si="47"/>
        <v>79.166666666666671</v>
      </c>
      <c r="H1088" s="37">
        <f t="shared" si="47"/>
        <v>600</v>
      </c>
      <c r="I1088" s="35">
        <f t="shared" si="47"/>
        <v>695</v>
      </c>
      <c r="J1088" s="35">
        <f t="shared" si="47"/>
        <v>33.333333333333336</v>
      </c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</row>
    <row r="1089" spans="1:20" ht="15">
      <c r="A1089" s="3">
        <f t="shared" si="30"/>
        <v>2054</v>
      </c>
      <c r="B1089" s="3">
        <f t="shared" si="40"/>
        <v>365</v>
      </c>
      <c r="C1089" s="35">
        <f t="shared" ref="C1089:J1096" si="48">AVERAGE(C485:C496)</f>
        <v>154.75825</v>
      </c>
      <c r="D1089" s="35">
        <f t="shared" si="48"/>
        <v>281.0162499999999</v>
      </c>
      <c r="E1089" s="35">
        <f t="shared" si="48"/>
        <v>780.7254999999999</v>
      </c>
      <c r="F1089" s="35">
        <f t="shared" si="48"/>
        <v>1216.5</v>
      </c>
      <c r="G1089" s="35">
        <f t="shared" si="48"/>
        <v>79.166666666666671</v>
      </c>
      <c r="H1089" s="37">
        <f t="shared" si="48"/>
        <v>600</v>
      </c>
      <c r="I1089" s="35">
        <f t="shared" si="48"/>
        <v>695</v>
      </c>
      <c r="J1089" s="35">
        <f t="shared" si="48"/>
        <v>33.333333333333336</v>
      </c>
      <c r="K1089" s="36"/>
      <c r="L1089" s="36"/>
      <c r="M1089" s="36"/>
      <c r="N1089" s="36"/>
      <c r="O1089" s="36"/>
      <c r="P1089" s="36"/>
      <c r="Q1089" s="36"/>
      <c r="R1089" s="36"/>
      <c r="S1089" s="36"/>
      <c r="T1089" s="36"/>
    </row>
    <row r="1090" spans="1:20" ht="15">
      <c r="A1090" s="3">
        <f t="shared" si="30"/>
        <v>2055</v>
      </c>
      <c r="B1090" s="3">
        <f t="shared" si="40"/>
        <v>365</v>
      </c>
      <c r="C1090" s="35">
        <f t="shared" si="48"/>
        <v>154.75825</v>
      </c>
      <c r="D1090" s="35">
        <f t="shared" si="48"/>
        <v>281.0162499999999</v>
      </c>
      <c r="E1090" s="35">
        <f t="shared" si="48"/>
        <v>780.7254999999999</v>
      </c>
      <c r="F1090" s="35">
        <f t="shared" si="48"/>
        <v>1216.5</v>
      </c>
      <c r="G1090" s="35">
        <f t="shared" si="48"/>
        <v>79.166666666666671</v>
      </c>
      <c r="H1090" s="37">
        <f t="shared" si="48"/>
        <v>600</v>
      </c>
      <c r="I1090" s="35">
        <f t="shared" si="48"/>
        <v>695</v>
      </c>
      <c r="J1090" s="35">
        <f t="shared" si="48"/>
        <v>33.333333333333336</v>
      </c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</row>
    <row r="1091" spans="1:20" ht="15">
      <c r="A1091" s="3">
        <f t="shared" si="30"/>
        <v>2056</v>
      </c>
      <c r="B1091" s="3">
        <f t="shared" si="40"/>
        <v>366</v>
      </c>
      <c r="C1091" s="35">
        <f t="shared" si="48"/>
        <v>154.75824999999998</v>
      </c>
      <c r="D1091" s="35">
        <f t="shared" si="48"/>
        <v>281.0162499999999</v>
      </c>
      <c r="E1091" s="35">
        <f t="shared" si="48"/>
        <v>780.7254999999999</v>
      </c>
      <c r="F1091" s="35">
        <f t="shared" si="48"/>
        <v>1216.5</v>
      </c>
      <c r="G1091" s="35">
        <f t="shared" si="48"/>
        <v>79.166666666666671</v>
      </c>
      <c r="H1091" s="37">
        <f t="shared" si="48"/>
        <v>600</v>
      </c>
      <c r="I1091" s="35">
        <f t="shared" si="48"/>
        <v>695</v>
      </c>
      <c r="J1091" s="35">
        <f t="shared" si="48"/>
        <v>33.333333333333336</v>
      </c>
      <c r="K1091" s="36"/>
      <c r="L1091" s="36"/>
      <c r="M1091" s="36"/>
      <c r="N1091" s="36"/>
      <c r="O1091" s="36"/>
      <c r="P1091" s="36"/>
      <c r="Q1091" s="36"/>
      <c r="R1091" s="36"/>
      <c r="S1091" s="36"/>
      <c r="T1091" s="36"/>
    </row>
    <row r="1092" spans="1:20" ht="15">
      <c r="A1092" s="3">
        <f t="shared" si="30"/>
        <v>2057</v>
      </c>
      <c r="B1092" s="3">
        <f t="shared" si="40"/>
        <v>365</v>
      </c>
      <c r="C1092" s="35">
        <f t="shared" si="48"/>
        <v>154.75825</v>
      </c>
      <c r="D1092" s="35">
        <f t="shared" si="48"/>
        <v>281.0162499999999</v>
      </c>
      <c r="E1092" s="35">
        <f t="shared" si="48"/>
        <v>780.72550000000001</v>
      </c>
      <c r="F1092" s="35">
        <f t="shared" si="48"/>
        <v>1216.5</v>
      </c>
      <c r="G1092" s="35">
        <f t="shared" si="48"/>
        <v>79.166666666666671</v>
      </c>
      <c r="H1092" s="37">
        <f t="shared" si="48"/>
        <v>600</v>
      </c>
      <c r="I1092" s="35">
        <f t="shared" si="48"/>
        <v>695</v>
      </c>
      <c r="J1092" s="35">
        <f t="shared" si="48"/>
        <v>33.333333333333336</v>
      </c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</row>
    <row r="1093" spans="1:20" ht="15">
      <c r="A1093" s="3">
        <f t="shared" si="30"/>
        <v>2058</v>
      </c>
      <c r="B1093" s="3">
        <f t="shared" si="40"/>
        <v>365</v>
      </c>
      <c r="C1093" s="35">
        <f t="shared" si="48"/>
        <v>154.75824999999998</v>
      </c>
      <c r="D1093" s="35">
        <f t="shared" si="48"/>
        <v>281.01624999999996</v>
      </c>
      <c r="E1093" s="35">
        <f t="shared" si="48"/>
        <v>780.72550000000001</v>
      </c>
      <c r="F1093" s="35">
        <f t="shared" si="48"/>
        <v>1216.5</v>
      </c>
      <c r="G1093" s="35">
        <f t="shared" si="48"/>
        <v>79.166666666666671</v>
      </c>
      <c r="H1093" s="37">
        <f t="shared" si="48"/>
        <v>600</v>
      </c>
      <c r="I1093" s="35">
        <f t="shared" si="48"/>
        <v>695</v>
      </c>
      <c r="J1093" s="35">
        <f t="shared" si="48"/>
        <v>33.333333333333336</v>
      </c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</row>
    <row r="1094" spans="1:20" ht="15">
      <c r="A1094" s="3">
        <f t="shared" si="30"/>
        <v>2059</v>
      </c>
      <c r="B1094" s="3">
        <f t="shared" si="40"/>
        <v>365</v>
      </c>
      <c r="C1094" s="35">
        <f t="shared" si="48"/>
        <v>154.75824999999998</v>
      </c>
      <c r="D1094" s="35">
        <f t="shared" si="48"/>
        <v>281.01624999999996</v>
      </c>
      <c r="E1094" s="35">
        <f t="shared" si="48"/>
        <v>780.72550000000012</v>
      </c>
      <c r="F1094" s="35">
        <f t="shared" si="48"/>
        <v>1216.5</v>
      </c>
      <c r="G1094" s="35">
        <f t="shared" si="48"/>
        <v>79.166666666666671</v>
      </c>
      <c r="H1094" s="37">
        <f t="shared" si="48"/>
        <v>600</v>
      </c>
      <c r="I1094" s="35">
        <f t="shared" si="48"/>
        <v>695</v>
      </c>
      <c r="J1094" s="35">
        <f t="shared" si="48"/>
        <v>33.333333333333336</v>
      </c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</row>
    <row r="1095" spans="1:20" ht="15">
      <c r="A1095" s="3">
        <f t="shared" si="30"/>
        <v>2060</v>
      </c>
      <c r="B1095" s="3">
        <f t="shared" si="40"/>
        <v>366</v>
      </c>
      <c r="C1095" s="35">
        <f t="shared" si="48"/>
        <v>154.75824999999998</v>
      </c>
      <c r="D1095" s="35">
        <f t="shared" si="48"/>
        <v>281.01624999999996</v>
      </c>
      <c r="E1095" s="35">
        <f t="shared" si="48"/>
        <v>780.72550000000012</v>
      </c>
      <c r="F1095" s="35">
        <f t="shared" si="48"/>
        <v>1216.5</v>
      </c>
      <c r="G1095" s="35">
        <f t="shared" si="48"/>
        <v>79.166666666666671</v>
      </c>
      <c r="H1095" s="37">
        <f t="shared" si="48"/>
        <v>600</v>
      </c>
      <c r="I1095" s="35">
        <f t="shared" si="48"/>
        <v>695</v>
      </c>
      <c r="J1095" s="35">
        <f t="shared" si="48"/>
        <v>33.333333333333336</v>
      </c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</row>
    <row r="1096" spans="1:20" ht="15">
      <c r="A1096" s="3">
        <f t="shared" si="30"/>
        <v>2061</v>
      </c>
      <c r="B1096" s="3">
        <f t="shared" si="40"/>
        <v>365</v>
      </c>
      <c r="C1096" s="35">
        <f t="shared" si="48"/>
        <v>154.75825</v>
      </c>
      <c r="D1096" s="35">
        <f t="shared" si="48"/>
        <v>281.01624999999996</v>
      </c>
      <c r="E1096" s="35">
        <f t="shared" si="48"/>
        <v>780.72550000000001</v>
      </c>
      <c r="F1096" s="35">
        <f t="shared" si="48"/>
        <v>1216.5</v>
      </c>
      <c r="G1096" s="35">
        <f t="shared" si="48"/>
        <v>79.166666666666671</v>
      </c>
      <c r="H1096" s="37">
        <f t="shared" si="48"/>
        <v>600</v>
      </c>
      <c r="I1096" s="35">
        <f t="shared" si="48"/>
        <v>695</v>
      </c>
      <c r="J1096" s="35">
        <f t="shared" si="48"/>
        <v>33.333333333333336</v>
      </c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</row>
    <row r="1097" spans="1:20" ht="15">
      <c r="A1097" s="3">
        <f t="shared" si="30"/>
        <v>2062</v>
      </c>
      <c r="B1097" s="3">
        <f t="shared" si="40"/>
        <v>365</v>
      </c>
      <c r="C1097" s="35">
        <f t="shared" ref="C1097:J1106" ca="1" si="49">AVERAGE(OFFSET(C$581,($A1097-$A$1097)*12,0,12,1))</f>
        <v>154.75825</v>
      </c>
      <c r="D1097" s="35">
        <f t="shared" ca="1" si="49"/>
        <v>281.0162499999999</v>
      </c>
      <c r="E1097" s="35">
        <f t="shared" ca="1" si="49"/>
        <v>780.7254999999999</v>
      </c>
      <c r="F1097" s="35">
        <f t="shared" ca="1" si="49"/>
        <v>1216.5</v>
      </c>
      <c r="G1097" s="35">
        <f t="shared" ca="1" si="49"/>
        <v>79.166666666666671</v>
      </c>
      <c r="H1097" s="35">
        <f t="shared" ca="1" si="49"/>
        <v>600</v>
      </c>
      <c r="I1097" s="35">
        <f t="shared" ca="1" si="49"/>
        <v>695</v>
      </c>
      <c r="J1097" s="35">
        <f t="shared" ca="1" si="49"/>
        <v>33.333333333333336</v>
      </c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</row>
    <row r="1098" spans="1:20" ht="15">
      <c r="A1098" s="3">
        <f t="shared" si="30"/>
        <v>2063</v>
      </c>
      <c r="B1098" s="3">
        <f t="shared" si="40"/>
        <v>365</v>
      </c>
      <c r="C1098" s="35">
        <f t="shared" ca="1" si="49"/>
        <v>154.75825</v>
      </c>
      <c r="D1098" s="35">
        <f t="shared" ca="1" si="49"/>
        <v>281.0162499999999</v>
      </c>
      <c r="E1098" s="35">
        <f t="shared" ca="1" si="49"/>
        <v>780.7254999999999</v>
      </c>
      <c r="F1098" s="35">
        <f t="shared" ca="1" si="49"/>
        <v>1216.5</v>
      </c>
      <c r="G1098" s="35">
        <f t="shared" ca="1" si="49"/>
        <v>79.166666666666671</v>
      </c>
      <c r="H1098" s="35">
        <f t="shared" ca="1" si="49"/>
        <v>600</v>
      </c>
      <c r="I1098" s="35">
        <f t="shared" ca="1" si="49"/>
        <v>695</v>
      </c>
      <c r="J1098" s="35">
        <f t="shared" ca="1" si="49"/>
        <v>33.333333333333336</v>
      </c>
      <c r="K1098" s="36"/>
      <c r="L1098" s="36"/>
      <c r="M1098" s="36"/>
      <c r="N1098" s="36"/>
      <c r="O1098" s="36"/>
      <c r="P1098" s="36"/>
      <c r="Q1098" s="36"/>
      <c r="R1098" s="36"/>
      <c r="S1098" s="36"/>
      <c r="T1098" s="36"/>
    </row>
    <row r="1099" spans="1:20" ht="15">
      <c r="A1099" s="3">
        <f t="shared" si="30"/>
        <v>2064</v>
      </c>
      <c r="B1099" s="3">
        <f t="shared" si="40"/>
        <v>366</v>
      </c>
      <c r="C1099" s="35">
        <f t="shared" ca="1" si="49"/>
        <v>154.75825</v>
      </c>
      <c r="D1099" s="35">
        <f t="shared" ca="1" si="49"/>
        <v>281.0162499999999</v>
      </c>
      <c r="E1099" s="35">
        <f t="shared" ca="1" si="49"/>
        <v>780.7254999999999</v>
      </c>
      <c r="F1099" s="35">
        <f t="shared" ca="1" si="49"/>
        <v>1216.5</v>
      </c>
      <c r="G1099" s="35">
        <f t="shared" ca="1" si="49"/>
        <v>79.166666666666671</v>
      </c>
      <c r="H1099" s="35">
        <f t="shared" ca="1" si="49"/>
        <v>600</v>
      </c>
      <c r="I1099" s="35">
        <f t="shared" ca="1" si="49"/>
        <v>695</v>
      </c>
      <c r="J1099" s="35">
        <f t="shared" ca="1" si="49"/>
        <v>33.333333333333336</v>
      </c>
      <c r="K1099" s="36"/>
      <c r="L1099" s="36"/>
      <c r="M1099" s="36"/>
      <c r="N1099" s="36"/>
      <c r="O1099" s="36"/>
      <c r="P1099" s="36"/>
      <c r="Q1099" s="36"/>
      <c r="R1099" s="36"/>
      <c r="S1099" s="36"/>
      <c r="T1099" s="36"/>
    </row>
    <row r="1100" spans="1:20" ht="15">
      <c r="A1100" s="3">
        <f t="shared" si="30"/>
        <v>2065</v>
      </c>
      <c r="B1100" s="3">
        <f t="shared" si="40"/>
        <v>365</v>
      </c>
      <c r="C1100" s="35">
        <f t="shared" ca="1" si="49"/>
        <v>154.75825</v>
      </c>
      <c r="D1100" s="35">
        <f t="shared" ca="1" si="49"/>
        <v>281.0162499999999</v>
      </c>
      <c r="E1100" s="35">
        <f t="shared" ca="1" si="49"/>
        <v>780.7254999999999</v>
      </c>
      <c r="F1100" s="35">
        <f t="shared" ca="1" si="49"/>
        <v>1216.5</v>
      </c>
      <c r="G1100" s="35">
        <f t="shared" ca="1" si="49"/>
        <v>79.166666666666671</v>
      </c>
      <c r="H1100" s="35">
        <f t="shared" ca="1" si="49"/>
        <v>600</v>
      </c>
      <c r="I1100" s="35">
        <f t="shared" ca="1" si="49"/>
        <v>695</v>
      </c>
      <c r="J1100" s="35">
        <f t="shared" ca="1" si="49"/>
        <v>33.333333333333336</v>
      </c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</row>
    <row r="1101" spans="1:20" ht="15">
      <c r="A1101" s="3">
        <f t="shared" si="30"/>
        <v>2066</v>
      </c>
      <c r="B1101" s="3">
        <f t="shared" si="40"/>
        <v>365</v>
      </c>
      <c r="C1101" s="35">
        <f t="shared" ca="1" si="49"/>
        <v>154.75825</v>
      </c>
      <c r="D1101" s="35">
        <f t="shared" ca="1" si="49"/>
        <v>281.0162499999999</v>
      </c>
      <c r="E1101" s="35">
        <f t="shared" ca="1" si="49"/>
        <v>780.7254999999999</v>
      </c>
      <c r="F1101" s="35">
        <f t="shared" ca="1" si="49"/>
        <v>1216.5</v>
      </c>
      <c r="G1101" s="35">
        <f t="shared" ca="1" si="49"/>
        <v>79.166666666666671</v>
      </c>
      <c r="H1101" s="35">
        <f t="shared" ca="1" si="49"/>
        <v>600</v>
      </c>
      <c r="I1101" s="35">
        <f t="shared" ca="1" si="49"/>
        <v>695</v>
      </c>
      <c r="J1101" s="35">
        <f t="shared" ca="1" si="49"/>
        <v>33.333333333333336</v>
      </c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</row>
    <row r="1102" spans="1:20" ht="15">
      <c r="A1102" s="3">
        <f t="shared" si="30"/>
        <v>2067</v>
      </c>
      <c r="B1102" s="3">
        <f t="shared" si="40"/>
        <v>365</v>
      </c>
      <c r="C1102" s="35">
        <f t="shared" ca="1" si="49"/>
        <v>154.75825</v>
      </c>
      <c r="D1102" s="35">
        <f t="shared" ca="1" si="49"/>
        <v>281.0162499999999</v>
      </c>
      <c r="E1102" s="35">
        <f t="shared" ca="1" si="49"/>
        <v>780.7254999999999</v>
      </c>
      <c r="F1102" s="35">
        <f t="shared" ca="1" si="49"/>
        <v>1216.5</v>
      </c>
      <c r="G1102" s="35">
        <f t="shared" ca="1" si="49"/>
        <v>79.166666666666671</v>
      </c>
      <c r="H1102" s="35">
        <f t="shared" ca="1" si="49"/>
        <v>600</v>
      </c>
      <c r="I1102" s="35">
        <f t="shared" ca="1" si="49"/>
        <v>695</v>
      </c>
      <c r="J1102" s="35">
        <f t="shared" ca="1" si="49"/>
        <v>33.333333333333336</v>
      </c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</row>
    <row r="1103" spans="1:20" ht="15">
      <c r="A1103" s="3">
        <f t="shared" si="30"/>
        <v>2068</v>
      </c>
      <c r="B1103" s="3">
        <f t="shared" si="40"/>
        <v>366</v>
      </c>
      <c r="C1103" s="35">
        <f t="shared" ca="1" si="49"/>
        <v>154.75825</v>
      </c>
      <c r="D1103" s="35">
        <f t="shared" ca="1" si="49"/>
        <v>281.0162499999999</v>
      </c>
      <c r="E1103" s="35">
        <f t="shared" ca="1" si="49"/>
        <v>780.7254999999999</v>
      </c>
      <c r="F1103" s="35">
        <f t="shared" ca="1" si="49"/>
        <v>1216.5</v>
      </c>
      <c r="G1103" s="35">
        <f t="shared" ca="1" si="49"/>
        <v>79.166666666666671</v>
      </c>
      <c r="H1103" s="35">
        <f t="shared" ca="1" si="49"/>
        <v>600</v>
      </c>
      <c r="I1103" s="35">
        <f t="shared" ca="1" si="49"/>
        <v>695</v>
      </c>
      <c r="J1103" s="35">
        <f t="shared" ca="1" si="49"/>
        <v>33.333333333333336</v>
      </c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</row>
    <row r="1104" spans="1:20" ht="15">
      <c r="A1104" s="3">
        <f t="shared" si="30"/>
        <v>2069</v>
      </c>
      <c r="B1104" s="3">
        <f t="shared" si="40"/>
        <v>365</v>
      </c>
      <c r="C1104" s="35">
        <f t="shared" ca="1" si="49"/>
        <v>154.75825</v>
      </c>
      <c r="D1104" s="35">
        <f t="shared" ca="1" si="49"/>
        <v>281.0162499999999</v>
      </c>
      <c r="E1104" s="35">
        <f t="shared" ca="1" si="49"/>
        <v>780.7254999999999</v>
      </c>
      <c r="F1104" s="35">
        <f t="shared" ca="1" si="49"/>
        <v>1216.5</v>
      </c>
      <c r="G1104" s="35">
        <f t="shared" ca="1" si="49"/>
        <v>79.166666666666671</v>
      </c>
      <c r="H1104" s="35">
        <f t="shared" ca="1" si="49"/>
        <v>600</v>
      </c>
      <c r="I1104" s="35">
        <f t="shared" ca="1" si="49"/>
        <v>695</v>
      </c>
      <c r="J1104" s="35">
        <f t="shared" ca="1" si="49"/>
        <v>33.333333333333336</v>
      </c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</row>
    <row r="1105" spans="1:20" ht="15">
      <c r="A1105" s="3">
        <f t="shared" ref="A1105:A1135" si="50">A1104+1</f>
        <v>2070</v>
      </c>
      <c r="B1105" s="3">
        <f t="shared" si="40"/>
        <v>365</v>
      </c>
      <c r="C1105" s="35">
        <f t="shared" ca="1" si="49"/>
        <v>154.75825</v>
      </c>
      <c r="D1105" s="35">
        <f t="shared" ca="1" si="49"/>
        <v>281.0162499999999</v>
      </c>
      <c r="E1105" s="35">
        <f t="shared" ca="1" si="49"/>
        <v>780.7254999999999</v>
      </c>
      <c r="F1105" s="35">
        <f t="shared" ca="1" si="49"/>
        <v>1216.5</v>
      </c>
      <c r="G1105" s="35">
        <f t="shared" ca="1" si="49"/>
        <v>79.166666666666671</v>
      </c>
      <c r="H1105" s="35">
        <f t="shared" ca="1" si="49"/>
        <v>600</v>
      </c>
      <c r="I1105" s="35">
        <f t="shared" ca="1" si="49"/>
        <v>695</v>
      </c>
      <c r="J1105" s="35">
        <f t="shared" ca="1" si="49"/>
        <v>33.333333333333336</v>
      </c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</row>
    <row r="1106" spans="1:20" ht="15">
      <c r="A1106" s="3">
        <f t="shared" si="50"/>
        <v>2071</v>
      </c>
      <c r="B1106" s="3">
        <f t="shared" si="40"/>
        <v>365</v>
      </c>
      <c r="C1106" s="35">
        <f t="shared" ca="1" si="49"/>
        <v>154.75825</v>
      </c>
      <c r="D1106" s="35">
        <f t="shared" ca="1" si="49"/>
        <v>281.0162499999999</v>
      </c>
      <c r="E1106" s="35">
        <f t="shared" ca="1" si="49"/>
        <v>780.7254999999999</v>
      </c>
      <c r="F1106" s="35">
        <f t="shared" ca="1" si="49"/>
        <v>1216.5</v>
      </c>
      <c r="G1106" s="35">
        <f t="shared" ca="1" si="49"/>
        <v>79.166666666666671</v>
      </c>
      <c r="H1106" s="35">
        <f t="shared" ca="1" si="49"/>
        <v>600</v>
      </c>
      <c r="I1106" s="35">
        <f t="shared" ca="1" si="49"/>
        <v>695</v>
      </c>
      <c r="J1106" s="35">
        <f t="shared" ca="1" si="49"/>
        <v>33.333333333333336</v>
      </c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</row>
    <row r="1107" spans="1:20" ht="15">
      <c r="A1107" s="3">
        <f t="shared" si="50"/>
        <v>2072</v>
      </c>
      <c r="B1107" s="3">
        <f t="shared" si="40"/>
        <v>366</v>
      </c>
      <c r="C1107" s="35">
        <f t="shared" ref="C1107:J1116" ca="1" si="51">AVERAGE(OFFSET(C$581,($A1107-$A$1097)*12,0,12,1))</f>
        <v>154.75825</v>
      </c>
      <c r="D1107" s="35">
        <f t="shared" ca="1" si="51"/>
        <v>281.0162499999999</v>
      </c>
      <c r="E1107" s="35">
        <f t="shared" ca="1" si="51"/>
        <v>780.7254999999999</v>
      </c>
      <c r="F1107" s="35">
        <f t="shared" ca="1" si="51"/>
        <v>1216.5</v>
      </c>
      <c r="G1107" s="35">
        <f t="shared" ca="1" si="51"/>
        <v>79.166666666666671</v>
      </c>
      <c r="H1107" s="35">
        <f t="shared" ca="1" si="51"/>
        <v>600</v>
      </c>
      <c r="I1107" s="35">
        <f t="shared" ca="1" si="51"/>
        <v>695</v>
      </c>
      <c r="J1107" s="35">
        <f t="shared" ca="1" si="51"/>
        <v>33.333333333333336</v>
      </c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</row>
    <row r="1108" spans="1:20" ht="15">
      <c r="A1108" s="3">
        <f t="shared" si="50"/>
        <v>2073</v>
      </c>
      <c r="B1108" s="3">
        <f t="shared" si="40"/>
        <v>365</v>
      </c>
      <c r="C1108" s="35">
        <f t="shared" ca="1" si="51"/>
        <v>154.75825</v>
      </c>
      <c r="D1108" s="35">
        <f t="shared" ca="1" si="51"/>
        <v>281.0162499999999</v>
      </c>
      <c r="E1108" s="35">
        <f t="shared" ca="1" si="51"/>
        <v>780.7254999999999</v>
      </c>
      <c r="F1108" s="35">
        <f t="shared" ca="1" si="51"/>
        <v>1216.5</v>
      </c>
      <c r="G1108" s="35">
        <f t="shared" ca="1" si="51"/>
        <v>79.166666666666671</v>
      </c>
      <c r="H1108" s="35">
        <f t="shared" ca="1" si="51"/>
        <v>600</v>
      </c>
      <c r="I1108" s="35">
        <f t="shared" ca="1" si="51"/>
        <v>695</v>
      </c>
      <c r="J1108" s="35">
        <f t="shared" ca="1" si="51"/>
        <v>33.333333333333336</v>
      </c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</row>
    <row r="1109" spans="1:20" ht="15">
      <c r="A1109" s="3">
        <f t="shared" si="50"/>
        <v>2074</v>
      </c>
      <c r="B1109" s="3">
        <f t="shared" si="40"/>
        <v>365</v>
      </c>
      <c r="C1109" s="35">
        <f t="shared" ca="1" si="51"/>
        <v>154.75825</v>
      </c>
      <c r="D1109" s="35">
        <f t="shared" ca="1" si="51"/>
        <v>281.0162499999999</v>
      </c>
      <c r="E1109" s="35">
        <f t="shared" ca="1" si="51"/>
        <v>780.7254999999999</v>
      </c>
      <c r="F1109" s="35">
        <f t="shared" ca="1" si="51"/>
        <v>1216.5</v>
      </c>
      <c r="G1109" s="35">
        <f t="shared" ca="1" si="51"/>
        <v>79.166666666666671</v>
      </c>
      <c r="H1109" s="35">
        <f t="shared" ca="1" si="51"/>
        <v>600</v>
      </c>
      <c r="I1109" s="35">
        <f t="shared" ca="1" si="51"/>
        <v>695</v>
      </c>
      <c r="J1109" s="35">
        <f t="shared" ca="1" si="51"/>
        <v>33.333333333333336</v>
      </c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</row>
    <row r="1110" spans="1:20" ht="15">
      <c r="A1110" s="3">
        <f t="shared" si="50"/>
        <v>2075</v>
      </c>
      <c r="B1110" s="3">
        <f t="shared" si="40"/>
        <v>365</v>
      </c>
      <c r="C1110" s="35">
        <f t="shared" ca="1" si="51"/>
        <v>154.75825</v>
      </c>
      <c r="D1110" s="35">
        <f t="shared" ca="1" si="51"/>
        <v>281.0162499999999</v>
      </c>
      <c r="E1110" s="35">
        <f t="shared" ca="1" si="51"/>
        <v>780.7254999999999</v>
      </c>
      <c r="F1110" s="35">
        <f t="shared" ca="1" si="51"/>
        <v>1216.5</v>
      </c>
      <c r="G1110" s="35">
        <f t="shared" ca="1" si="51"/>
        <v>79.166666666666671</v>
      </c>
      <c r="H1110" s="35">
        <f t="shared" ca="1" si="51"/>
        <v>600</v>
      </c>
      <c r="I1110" s="35">
        <f t="shared" ca="1" si="51"/>
        <v>695</v>
      </c>
      <c r="J1110" s="35">
        <f t="shared" ca="1" si="51"/>
        <v>33.333333333333336</v>
      </c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</row>
    <row r="1111" spans="1:20" ht="15">
      <c r="A1111" s="3">
        <f t="shared" si="50"/>
        <v>2076</v>
      </c>
      <c r="B1111" s="3">
        <f t="shared" si="40"/>
        <v>366</v>
      </c>
      <c r="C1111" s="35">
        <f t="shared" ca="1" si="51"/>
        <v>154.75825</v>
      </c>
      <c r="D1111" s="35">
        <f t="shared" ca="1" si="51"/>
        <v>281.0162499999999</v>
      </c>
      <c r="E1111" s="35">
        <f t="shared" ca="1" si="51"/>
        <v>780.7254999999999</v>
      </c>
      <c r="F1111" s="35">
        <f t="shared" ca="1" si="51"/>
        <v>1216.5</v>
      </c>
      <c r="G1111" s="35">
        <f t="shared" ca="1" si="51"/>
        <v>79.166666666666671</v>
      </c>
      <c r="H1111" s="35">
        <f t="shared" ca="1" si="51"/>
        <v>600</v>
      </c>
      <c r="I1111" s="35">
        <f t="shared" ca="1" si="51"/>
        <v>695</v>
      </c>
      <c r="J1111" s="35">
        <f t="shared" ca="1" si="51"/>
        <v>33.333333333333336</v>
      </c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</row>
    <row r="1112" spans="1:20" ht="15">
      <c r="A1112" s="3">
        <f t="shared" si="50"/>
        <v>2077</v>
      </c>
      <c r="B1112" s="3">
        <f t="shared" si="40"/>
        <v>365</v>
      </c>
      <c r="C1112" s="35">
        <f t="shared" ca="1" si="51"/>
        <v>154.75825</v>
      </c>
      <c r="D1112" s="35">
        <f t="shared" ca="1" si="51"/>
        <v>281.0162499999999</v>
      </c>
      <c r="E1112" s="35">
        <f t="shared" ca="1" si="51"/>
        <v>780.7254999999999</v>
      </c>
      <c r="F1112" s="35">
        <f t="shared" ca="1" si="51"/>
        <v>1216.5</v>
      </c>
      <c r="G1112" s="35">
        <f t="shared" ca="1" si="51"/>
        <v>79.166666666666671</v>
      </c>
      <c r="H1112" s="35">
        <f t="shared" ca="1" si="51"/>
        <v>600</v>
      </c>
      <c r="I1112" s="35">
        <f t="shared" ca="1" si="51"/>
        <v>695</v>
      </c>
      <c r="J1112" s="35">
        <f t="shared" ca="1" si="51"/>
        <v>33.333333333333336</v>
      </c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</row>
    <row r="1113" spans="1:20" ht="15">
      <c r="A1113" s="3">
        <f t="shared" si="50"/>
        <v>2078</v>
      </c>
      <c r="B1113" s="3">
        <f t="shared" si="40"/>
        <v>365</v>
      </c>
      <c r="C1113" s="35">
        <f t="shared" ca="1" si="51"/>
        <v>154.75825</v>
      </c>
      <c r="D1113" s="35">
        <f t="shared" ca="1" si="51"/>
        <v>281.0162499999999</v>
      </c>
      <c r="E1113" s="35">
        <f t="shared" ca="1" si="51"/>
        <v>780.7254999999999</v>
      </c>
      <c r="F1113" s="35">
        <f t="shared" ca="1" si="51"/>
        <v>1216.5</v>
      </c>
      <c r="G1113" s="35">
        <f t="shared" ca="1" si="51"/>
        <v>79.166666666666671</v>
      </c>
      <c r="H1113" s="35">
        <f t="shared" ca="1" si="51"/>
        <v>600</v>
      </c>
      <c r="I1113" s="35">
        <f t="shared" ca="1" si="51"/>
        <v>695</v>
      </c>
      <c r="J1113" s="35">
        <f t="shared" ca="1" si="51"/>
        <v>33.333333333333336</v>
      </c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</row>
    <row r="1114" spans="1:20" ht="15">
      <c r="A1114" s="3">
        <f t="shared" si="50"/>
        <v>2079</v>
      </c>
      <c r="B1114" s="3">
        <f t="shared" ref="B1114:B1135" si="52">DATE(A1114+1,1,1)-DATE(A1114,1,1)</f>
        <v>365</v>
      </c>
      <c r="C1114" s="35">
        <f t="shared" ca="1" si="51"/>
        <v>154.75825</v>
      </c>
      <c r="D1114" s="35">
        <f t="shared" ca="1" si="51"/>
        <v>281.0162499999999</v>
      </c>
      <c r="E1114" s="35">
        <f t="shared" ca="1" si="51"/>
        <v>780.7254999999999</v>
      </c>
      <c r="F1114" s="35">
        <f t="shared" ca="1" si="51"/>
        <v>1216.5</v>
      </c>
      <c r="G1114" s="35">
        <f t="shared" ca="1" si="51"/>
        <v>79.166666666666671</v>
      </c>
      <c r="H1114" s="35">
        <f t="shared" ca="1" si="51"/>
        <v>600</v>
      </c>
      <c r="I1114" s="35">
        <f t="shared" ca="1" si="51"/>
        <v>695</v>
      </c>
      <c r="J1114" s="35">
        <f t="shared" ca="1" si="51"/>
        <v>33.333333333333336</v>
      </c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</row>
    <row r="1115" spans="1:20" ht="15">
      <c r="A1115" s="3">
        <f t="shared" si="50"/>
        <v>2080</v>
      </c>
      <c r="B1115" s="3">
        <f t="shared" si="52"/>
        <v>366</v>
      </c>
      <c r="C1115" s="35">
        <f t="shared" ca="1" si="51"/>
        <v>154.75825</v>
      </c>
      <c r="D1115" s="35">
        <f t="shared" ca="1" si="51"/>
        <v>281.0162499999999</v>
      </c>
      <c r="E1115" s="35">
        <f t="shared" ca="1" si="51"/>
        <v>780.7254999999999</v>
      </c>
      <c r="F1115" s="35">
        <f t="shared" ca="1" si="51"/>
        <v>1216.5</v>
      </c>
      <c r="G1115" s="35">
        <f t="shared" ca="1" si="51"/>
        <v>79.166666666666671</v>
      </c>
      <c r="H1115" s="35">
        <f t="shared" ca="1" si="51"/>
        <v>600</v>
      </c>
      <c r="I1115" s="35">
        <f t="shared" ca="1" si="51"/>
        <v>695</v>
      </c>
      <c r="J1115" s="35">
        <f t="shared" ca="1" si="51"/>
        <v>33.333333333333336</v>
      </c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</row>
    <row r="1116" spans="1:20" ht="15">
      <c r="A1116" s="3">
        <f t="shared" si="50"/>
        <v>2081</v>
      </c>
      <c r="B1116" s="3">
        <f t="shared" si="52"/>
        <v>365</v>
      </c>
      <c r="C1116" s="35">
        <f t="shared" ca="1" si="51"/>
        <v>154.75825</v>
      </c>
      <c r="D1116" s="35">
        <f t="shared" ca="1" si="51"/>
        <v>281.0162499999999</v>
      </c>
      <c r="E1116" s="35">
        <f t="shared" ca="1" si="51"/>
        <v>780.7254999999999</v>
      </c>
      <c r="F1116" s="35">
        <f t="shared" ca="1" si="51"/>
        <v>1216.5</v>
      </c>
      <c r="G1116" s="35">
        <f t="shared" ca="1" si="51"/>
        <v>79.166666666666671</v>
      </c>
      <c r="H1116" s="35">
        <f t="shared" ca="1" si="51"/>
        <v>600</v>
      </c>
      <c r="I1116" s="35">
        <f t="shared" ca="1" si="51"/>
        <v>695</v>
      </c>
      <c r="J1116" s="35">
        <f t="shared" ca="1" si="51"/>
        <v>33.333333333333336</v>
      </c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</row>
    <row r="1117" spans="1:20" ht="15">
      <c r="A1117" s="3">
        <f t="shared" si="50"/>
        <v>2082</v>
      </c>
      <c r="B1117" s="3">
        <f t="shared" si="52"/>
        <v>365</v>
      </c>
      <c r="C1117" s="35">
        <f t="shared" ref="C1117:J1126" ca="1" si="53">AVERAGE(OFFSET(C$581,($A1117-$A$1097)*12,0,12,1))</f>
        <v>154.75825</v>
      </c>
      <c r="D1117" s="35">
        <f t="shared" ca="1" si="53"/>
        <v>281.0162499999999</v>
      </c>
      <c r="E1117" s="35">
        <f t="shared" ca="1" si="53"/>
        <v>780.7254999999999</v>
      </c>
      <c r="F1117" s="35">
        <f t="shared" ca="1" si="53"/>
        <v>1216.5</v>
      </c>
      <c r="G1117" s="35">
        <f t="shared" ca="1" si="53"/>
        <v>79.166666666666671</v>
      </c>
      <c r="H1117" s="35">
        <f t="shared" ca="1" si="53"/>
        <v>600</v>
      </c>
      <c r="I1117" s="35">
        <f t="shared" ca="1" si="53"/>
        <v>695</v>
      </c>
      <c r="J1117" s="35">
        <f t="shared" ca="1" si="53"/>
        <v>33.333333333333336</v>
      </c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</row>
    <row r="1118" spans="1:20" ht="15">
      <c r="A1118" s="3">
        <f t="shared" si="50"/>
        <v>2083</v>
      </c>
      <c r="B1118" s="3">
        <f t="shared" si="52"/>
        <v>365</v>
      </c>
      <c r="C1118" s="35">
        <f t="shared" ca="1" si="53"/>
        <v>154.75825</v>
      </c>
      <c r="D1118" s="35">
        <f t="shared" ca="1" si="53"/>
        <v>281.0162499999999</v>
      </c>
      <c r="E1118" s="35">
        <f t="shared" ca="1" si="53"/>
        <v>780.7254999999999</v>
      </c>
      <c r="F1118" s="35">
        <f t="shared" ca="1" si="53"/>
        <v>1216.5</v>
      </c>
      <c r="G1118" s="35">
        <f t="shared" ca="1" si="53"/>
        <v>79.166666666666671</v>
      </c>
      <c r="H1118" s="35">
        <f t="shared" ca="1" si="53"/>
        <v>600</v>
      </c>
      <c r="I1118" s="35">
        <f t="shared" ca="1" si="53"/>
        <v>695</v>
      </c>
      <c r="J1118" s="35">
        <f t="shared" ca="1" si="53"/>
        <v>33.333333333333336</v>
      </c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</row>
    <row r="1119" spans="1:20" ht="15">
      <c r="A1119" s="3">
        <f t="shared" si="50"/>
        <v>2084</v>
      </c>
      <c r="B1119" s="3">
        <f t="shared" si="52"/>
        <v>366</v>
      </c>
      <c r="C1119" s="35">
        <f t="shared" ca="1" si="53"/>
        <v>154.75825</v>
      </c>
      <c r="D1119" s="35">
        <f t="shared" ca="1" si="53"/>
        <v>281.0162499999999</v>
      </c>
      <c r="E1119" s="35">
        <f t="shared" ca="1" si="53"/>
        <v>780.7254999999999</v>
      </c>
      <c r="F1119" s="35">
        <f t="shared" ca="1" si="53"/>
        <v>1216.5</v>
      </c>
      <c r="G1119" s="35">
        <f t="shared" ca="1" si="53"/>
        <v>79.166666666666671</v>
      </c>
      <c r="H1119" s="35">
        <f t="shared" ca="1" si="53"/>
        <v>600</v>
      </c>
      <c r="I1119" s="35">
        <f t="shared" ca="1" si="53"/>
        <v>695</v>
      </c>
      <c r="J1119" s="35">
        <f t="shared" ca="1" si="53"/>
        <v>33.333333333333336</v>
      </c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</row>
    <row r="1120" spans="1:20" ht="15">
      <c r="A1120" s="3">
        <f t="shared" si="50"/>
        <v>2085</v>
      </c>
      <c r="B1120" s="3">
        <f t="shared" si="52"/>
        <v>365</v>
      </c>
      <c r="C1120" s="35">
        <f t="shared" ca="1" si="53"/>
        <v>154.75825</v>
      </c>
      <c r="D1120" s="35">
        <f t="shared" ca="1" si="53"/>
        <v>281.0162499999999</v>
      </c>
      <c r="E1120" s="35">
        <f t="shared" ca="1" si="53"/>
        <v>780.7254999999999</v>
      </c>
      <c r="F1120" s="35">
        <f t="shared" ca="1" si="53"/>
        <v>1216.5</v>
      </c>
      <c r="G1120" s="35">
        <f t="shared" ca="1" si="53"/>
        <v>79.166666666666671</v>
      </c>
      <c r="H1120" s="35">
        <f t="shared" ca="1" si="53"/>
        <v>600</v>
      </c>
      <c r="I1120" s="35">
        <f t="shared" ca="1" si="53"/>
        <v>695</v>
      </c>
      <c r="J1120" s="35">
        <f t="shared" ca="1" si="53"/>
        <v>33.333333333333336</v>
      </c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</row>
    <row r="1121" spans="1:20" ht="15">
      <c r="A1121" s="3">
        <f t="shared" si="50"/>
        <v>2086</v>
      </c>
      <c r="B1121" s="3">
        <f t="shared" si="52"/>
        <v>365</v>
      </c>
      <c r="C1121" s="35">
        <f t="shared" ca="1" si="53"/>
        <v>154.75825</v>
      </c>
      <c r="D1121" s="35">
        <f t="shared" ca="1" si="53"/>
        <v>281.0162499999999</v>
      </c>
      <c r="E1121" s="35">
        <f t="shared" ca="1" si="53"/>
        <v>780.7254999999999</v>
      </c>
      <c r="F1121" s="35">
        <f t="shared" ca="1" si="53"/>
        <v>1216.5</v>
      </c>
      <c r="G1121" s="35">
        <f t="shared" ca="1" si="53"/>
        <v>79.166666666666671</v>
      </c>
      <c r="H1121" s="35">
        <f t="shared" ca="1" si="53"/>
        <v>600</v>
      </c>
      <c r="I1121" s="35">
        <f t="shared" ca="1" si="53"/>
        <v>695</v>
      </c>
      <c r="J1121" s="35">
        <f t="shared" ca="1" si="53"/>
        <v>33.333333333333336</v>
      </c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</row>
    <row r="1122" spans="1:20" ht="15">
      <c r="A1122" s="3">
        <f t="shared" si="50"/>
        <v>2087</v>
      </c>
      <c r="B1122" s="3">
        <f t="shared" si="52"/>
        <v>365</v>
      </c>
      <c r="C1122" s="35">
        <f t="shared" ca="1" si="53"/>
        <v>154.75825</v>
      </c>
      <c r="D1122" s="35">
        <f t="shared" ca="1" si="53"/>
        <v>281.0162499999999</v>
      </c>
      <c r="E1122" s="35">
        <f t="shared" ca="1" si="53"/>
        <v>780.7254999999999</v>
      </c>
      <c r="F1122" s="35">
        <f t="shared" ca="1" si="53"/>
        <v>1216.5</v>
      </c>
      <c r="G1122" s="35">
        <f t="shared" ca="1" si="53"/>
        <v>79.166666666666671</v>
      </c>
      <c r="H1122" s="35">
        <f t="shared" ca="1" si="53"/>
        <v>600</v>
      </c>
      <c r="I1122" s="35">
        <f t="shared" ca="1" si="53"/>
        <v>695</v>
      </c>
      <c r="J1122" s="35">
        <f t="shared" ca="1" si="53"/>
        <v>33.333333333333336</v>
      </c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</row>
    <row r="1123" spans="1:20" ht="15">
      <c r="A1123" s="3">
        <f t="shared" si="50"/>
        <v>2088</v>
      </c>
      <c r="B1123" s="3">
        <f t="shared" si="52"/>
        <v>366</v>
      </c>
      <c r="C1123" s="35">
        <f t="shared" ca="1" si="53"/>
        <v>154.75825</v>
      </c>
      <c r="D1123" s="35">
        <f t="shared" ca="1" si="53"/>
        <v>281.0162499999999</v>
      </c>
      <c r="E1123" s="35">
        <f t="shared" ca="1" si="53"/>
        <v>780.7254999999999</v>
      </c>
      <c r="F1123" s="35">
        <f t="shared" ca="1" si="53"/>
        <v>1216.5</v>
      </c>
      <c r="G1123" s="35">
        <f t="shared" ca="1" si="53"/>
        <v>79.166666666666671</v>
      </c>
      <c r="H1123" s="35">
        <f t="shared" ca="1" si="53"/>
        <v>600</v>
      </c>
      <c r="I1123" s="35">
        <f t="shared" ca="1" si="53"/>
        <v>695</v>
      </c>
      <c r="J1123" s="35">
        <f t="shared" ca="1" si="53"/>
        <v>33.333333333333336</v>
      </c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</row>
    <row r="1124" spans="1:20" ht="15">
      <c r="A1124" s="3">
        <f t="shared" si="50"/>
        <v>2089</v>
      </c>
      <c r="B1124" s="3">
        <f t="shared" si="52"/>
        <v>365</v>
      </c>
      <c r="C1124" s="35">
        <f t="shared" ca="1" si="53"/>
        <v>154.75825</v>
      </c>
      <c r="D1124" s="35">
        <f t="shared" ca="1" si="53"/>
        <v>281.0162499999999</v>
      </c>
      <c r="E1124" s="35">
        <f t="shared" ca="1" si="53"/>
        <v>780.7254999999999</v>
      </c>
      <c r="F1124" s="35">
        <f t="shared" ca="1" si="53"/>
        <v>1216.5</v>
      </c>
      <c r="G1124" s="35">
        <f t="shared" ca="1" si="53"/>
        <v>79.166666666666671</v>
      </c>
      <c r="H1124" s="35">
        <f t="shared" ca="1" si="53"/>
        <v>600</v>
      </c>
      <c r="I1124" s="35">
        <f t="shared" ca="1" si="53"/>
        <v>695</v>
      </c>
      <c r="J1124" s="35">
        <f t="shared" ca="1" si="53"/>
        <v>33.333333333333336</v>
      </c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</row>
    <row r="1125" spans="1:20" ht="15">
      <c r="A1125" s="3">
        <f t="shared" si="50"/>
        <v>2090</v>
      </c>
      <c r="B1125" s="3">
        <f t="shared" si="52"/>
        <v>365</v>
      </c>
      <c r="C1125" s="35">
        <f t="shared" ca="1" si="53"/>
        <v>154.75825</v>
      </c>
      <c r="D1125" s="35">
        <f t="shared" ca="1" si="53"/>
        <v>281.0162499999999</v>
      </c>
      <c r="E1125" s="35">
        <f t="shared" ca="1" si="53"/>
        <v>780.7254999999999</v>
      </c>
      <c r="F1125" s="35">
        <f t="shared" ca="1" si="53"/>
        <v>1216.5</v>
      </c>
      <c r="G1125" s="35">
        <f t="shared" ca="1" si="53"/>
        <v>79.166666666666671</v>
      </c>
      <c r="H1125" s="35">
        <f t="shared" ca="1" si="53"/>
        <v>600</v>
      </c>
      <c r="I1125" s="35">
        <f t="shared" ca="1" si="53"/>
        <v>695</v>
      </c>
      <c r="J1125" s="35">
        <f t="shared" ca="1" si="53"/>
        <v>33.333333333333336</v>
      </c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</row>
    <row r="1126" spans="1:20" ht="15">
      <c r="A1126" s="3">
        <f t="shared" si="50"/>
        <v>2091</v>
      </c>
      <c r="B1126" s="3">
        <f t="shared" si="52"/>
        <v>365</v>
      </c>
      <c r="C1126" s="35">
        <f t="shared" ca="1" si="53"/>
        <v>154.75825</v>
      </c>
      <c r="D1126" s="35">
        <f t="shared" ca="1" si="53"/>
        <v>281.0162499999999</v>
      </c>
      <c r="E1126" s="35">
        <f t="shared" ca="1" si="53"/>
        <v>780.7254999999999</v>
      </c>
      <c r="F1126" s="35">
        <f t="shared" ca="1" si="53"/>
        <v>1216.5</v>
      </c>
      <c r="G1126" s="35">
        <f t="shared" ca="1" si="53"/>
        <v>79.166666666666671</v>
      </c>
      <c r="H1126" s="35">
        <f t="shared" ca="1" si="53"/>
        <v>600</v>
      </c>
      <c r="I1126" s="35">
        <f t="shared" ca="1" si="53"/>
        <v>695</v>
      </c>
      <c r="J1126" s="35">
        <f t="shared" ca="1" si="53"/>
        <v>33.333333333333336</v>
      </c>
    </row>
    <row r="1127" spans="1:20" ht="15">
      <c r="A1127" s="3">
        <f t="shared" si="50"/>
        <v>2092</v>
      </c>
      <c r="B1127" s="3">
        <f t="shared" si="52"/>
        <v>366</v>
      </c>
      <c r="C1127" s="35">
        <f t="shared" ref="C1127:J1135" ca="1" si="54">AVERAGE(OFFSET(C$581,($A1127-$A$1097)*12,0,12,1))</f>
        <v>154.75825</v>
      </c>
      <c r="D1127" s="35">
        <f t="shared" ca="1" si="54"/>
        <v>281.0162499999999</v>
      </c>
      <c r="E1127" s="35">
        <f t="shared" ca="1" si="54"/>
        <v>780.7254999999999</v>
      </c>
      <c r="F1127" s="35">
        <f t="shared" ca="1" si="54"/>
        <v>1216.5</v>
      </c>
      <c r="G1127" s="35">
        <f t="shared" ca="1" si="54"/>
        <v>79.166666666666671</v>
      </c>
      <c r="H1127" s="35">
        <f t="shared" ca="1" si="54"/>
        <v>600</v>
      </c>
      <c r="I1127" s="35">
        <f t="shared" ca="1" si="54"/>
        <v>695</v>
      </c>
      <c r="J1127" s="35">
        <f t="shared" ca="1" si="54"/>
        <v>33.333333333333336</v>
      </c>
    </row>
    <row r="1128" spans="1:20" ht="15">
      <c r="A1128" s="3">
        <f t="shared" si="50"/>
        <v>2093</v>
      </c>
      <c r="B1128" s="3">
        <f t="shared" si="52"/>
        <v>365</v>
      </c>
      <c r="C1128" s="35">
        <f t="shared" ca="1" si="54"/>
        <v>154.75825</v>
      </c>
      <c r="D1128" s="35">
        <f t="shared" ca="1" si="54"/>
        <v>281.0162499999999</v>
      </c>
      <c r="E1128" s="35">
        <f t="shared" ca="1" si="54"/>
        <v>780.7254999999999</v>
      </c>
      <c r="F1128" s="35">
        <f t="shared" ca="1" si="54"/>
        <v>1216.5</v>
      </c>
      <c r="G1128" s="35">
        <f t="shared" ca="1" si="54"/>
        <v>79.166666666666671</v>
      </c>
      <c r="H1128" s="35">
        <f t="shared" ca="1" si="54"/>
        <v>600</v>
      </c>
      <c r="I1128" s="35">
        <f t="shared" ca="1" si="54"/>
        <v>695</v>
      </c>
      <c r="J1128" s="35">
        <f t="shared" ca="1" si="54"/>
        <v>33.333333333333336</v>
      </c>
    </row>
    <row r="1129" spans="1:20" ht="15">
      <c r="A1129" s="3">
        <f t="shared" si="50"/>
        <v>2094</v>
      </c>
      <c r="B1129" s="3">
        <f t="shared" si="52"/>
        <v>365</v>
      </c>
      <c r="C1129" s="35">
        <f t="shared" ca="1" si="54"/>
        <v>154.75825</v>
      </c>
      <c r="D1129" s="35">
        <f t="shared" ca="1" si="54"/>
        <v>281.0162499999999</v>
      </c>
      <c r="E1129" s="35">
        <f t="shared" ca="1" si="54"/>
        <v>780.7254999999999</v>
      </c>
      <c r="F1129" s="35">
        <f t="shared" ca="1" si="54"/>
        <v>1216.5</v>
      </c>
      <c r="G1129" s="35">
        <f t="shared" ca="1" si="54"/>
        <v>79.166666666666671</v>
      </c>
      <c r="H1129" s="35">
        <f t="shared" ca="1" si="54"/>
        <v>600</v>
      </c>
      <c r="I1129" s="35">
        <f t="shared" ca="1" si="54"/>
        <v>695</v>
      </c>
      <c r="J1129" s="35">
        <f t="shared" ca="1" si="54"/>
        <v>33.333333333333336</v>
      </c>
    </row>
    <row r="1130" spans="1:20" ht="15">
      <c r="A1130" s="3">
        <f t="shared" si="50"/>
        <v>2095</v>
      </c>
      <c r="B1130" s="3">
        <f t="shared" si="52"/>
        <v>365</v>
      </c>
      <c r="C1130" s="35">
        <f t="shared" ca="1" si="54"/>
        <v>154.75825</v>
      </c>
      <c r="D1130" s="35">
        <f t="shared" ca="1" si="54"/>
        <v>281.0162499999999</v>
      </c>
      <c r="E1130" s="35">
        <f t="shared" ca="1" si="54"/>
        <v>780.7254999999999</v>
      </c>
      <c r="F1130" s="35">
        <f t="shared" ca="1" si="54"/>
        <v>1216.5</v>
      </c>
      <c r="G1130" s="35">
        <f t="shared" ca="1" si="54"/>
        <v>79.166666666666671</v>
      </c>
      <c r="H1130" s="35">
        <f t="shared" ca="1" si="54"/>
        <v>600</v>
      </c>
      <c r="I1130" s="35">
        <f t="shared" ca="1" si="54"/>
        <v>695</v>
      </c>
      <c r="J1130" s="35">
        <f t="shared" ca="1" si="54"/>
        <v>33.333333333333336</v>
      </c>
    </row>
    <row r="1131" spans="1:20" ht="15">
      <c r="A1131" s="3">
        <f t="shared" si="50"/>
        <v>2096</v>
      </c>
      <c r="B1131" s="3">
        <f t="shared" si="52"/>
        <v>366</v>
      </c>
      <c r="C1131" s="35">
        <f t="shared" ca="1" si="54"/>
        <v>154.75825</v>
      </c>
      <c r="D1131" s="35">
        <f t="shared" ca="1" si="54"/>
        <v>281.0162499999999</v>
      </c>
      <c r="E1131" s="35">
        <f t="shared" ca="1" si="54"/>
        <v>780.7254999999999</v>
      </c>
      <c r="F1131" s="35">
        <f t="shared" ca="1" si="54"/>
        <v>1216.5</v>
      </c>
      <c r="G1131" s="35">
        <f t="shared" ca="1" si="54"/>
        <v>79.166666666666671</v>
      </c>
      <c r="H1131" s="35">
        <f t="shared" ca="1" si="54"/>
        <v>600</v>
      </c>
      <c r="I1131" s="35">
        <f t="shared" ca="1" si="54"/>
        <v>695</v>
      </c>
      <c r="J1131" s="35">
        <f t="shared" ca="1" si="54"/>
        <v>33.333333333333336</v>
      </c>
    </row>
    <row r="1132" spans="1:20" ht="15">
      <c r="A1132" s="3">
        <f t="shared" si="50"/>
        <v>2097</v>
      </c>
      <c r="B1132" s="3">
        <f t="shared" si="52"/>
        <v>365</v>
      </c>
      <c r="C1132" s="35">
        <f t="shared" ca="1" si="54"/>
        <v>154.75825</v>
      </c>
      <c r="D1132" s="35">
        <f t="shared" ca="1" si="54"/>
        <v>281.0162499999999</v>
      </c>
      <c r="E1132" s="35">
        <f t="shared" ca="1" si="54"/>
        <v>780.7254999999999</v>
      </c>
      <c r="F1132" s="35">
        <f t="shared" ca="1" si="54"/>
        <v>1216.5</v>
      </c>
      <c r="G1132" s="35">
        <f t="shared" ca="1" si="54"/>
        <v>79.166666666666671</v>
      </c>
      <c r="H1132" s="35">
        <f t="shared" ca="1" si="54"/>
        <v>600</v>
      </c>
      <c r="I1132" s="35">
        <f t="shared" ca="1" si="54"/>
        <v>695</v>
      </c>
      <c r="J1132" s="35">
        <f t="shared" ca="1" si="54"/>
        <v>33.333333333333336</v>
      </c>
    </row>
    <row r="1133" spans="1:20" ht="15">
      <c r="A1133" s="3">
        <f t="shared" si="50"/>
        <v>2098</v>
      </c>
      <c r="B1133" s="3">
        <f t="shared" si="52"/>
        <v>365</v>
      </c>
      <c r="C1133" s="35">
        <f t="shared" ca="1" si="54"/>
        <v>154.75825</v>
      </c>
      <c r="D1133" s="35">
        <f t="shared" ca="1" si="54"/>
        <v>281.0162499999999</v>
      </c>
      <c r="E1133" s="35">
        <f t="shared" ca="1" si="54"/>
        <v>780.7254999999999</v>
      </c>
      <c r="F1133" s="35">
        <f t="shared" ca="1" si="54"/>
        <v>1216.5</v>
      </c>
      <c r="G1133" s="35">
        <f t="shared" ca="1" si="54"/>
        <v>79.166666666666671</v>
      </c>
      <c r="H1133" s="35">
        <f t="shared" ca="1" si="54"/>
        <v>600</v>
      </c>
      <c r="I1133" s="35">
        <f t="shared" ca="1" si="54"/>
        <v>695</v>
      </c>
      <c r="J1133" s="35">
        <f t="shared" ca="1" si="54"/>
        <v>33.333333333333336</v>
      </c>
    </row>
    <row r="1134" spans="1:20" ht="15">
      <c r="A1134" s="3">
        <f t="shared" si="50"/>
        <v>2099</v>
      </c>
      <c r="B1134" s="3">
        <f t="shared" si="52"/>
        <v>365</v>
      </c>
      <c r="C1134" s="35">
        <f t="shared" ca="1" si="54"/>
        <v>154.75825</v>
      </c>
      <c r="D1134" s="35">
        <f t="shared" ca="1" si="54"/>
        <v>281.0162499999999</v>
      </c>
      <c r="E1134" s="35">
        <f t="shared" ca="1" si="54"/>
        <v>780.7254999999999</v>
      </c>
      <c r="F1134" s="35">
        <f t="shared" ca="1" si="54"/>
        <v>1216.5</v>
      </c>
      <c r="G1134" s="35">
        <f t="shared" ca="1" si="54"/>
        <v>79.166666666666671</v>
      </c>
      <c r="H1134" s="35">
        <f t="shared" ca="1" si="54"/>
        <v>600</v>
      </c>
      <c r="I1134" s="35">
        <f t="shared" ca="1" si="54"/>
        <v>695</v>
      </c>
      <c r="J1134" s="35">
        <f t="shared" ca="1" si="54"/>
        <v>33.333333333333336</v>
      </c>
    </row>
    <row r="1135" spans="1:20" ht="15">
      <c r="A1135" s="3">
        <f t="shared" si="50"/>
        <v>2100</v>
      </c>
      <c r="B1135" s="3">
        <f t="shared" si="52"/>
        <v>365</v>
      </c>
      <c r="C1135" s="35">
        <f t="shared" ca="1" si="54"/>
        <v>154.75825</v>
      </c>
      <c r="D1135" s="35">
        <f t="shared" ca="1" si="54"/>
        <v>281.0162499999999</v>
      </c>
      <c r="E1135" s="35">
        <f t="shared" ca="1" si="54"/>
        <v>780.7254999999999</v>
      </c>
      <c r="F1135" s="35">
        <f t="shared" ca="1" si="54"/>
        <v>1216.5</v>
      </c>
      <c r="G1135" s="35">
        <f t="shared" ca="1" si="54"/>
        <v>79.166666666666671</v>
      </c>
      <c r="H1135" s="35">
        <f t="shared" ca="1" si="54"/>
        <v>600</v>
      </c>
      <c r="I1135" s="35">
        <f t="shared" ca="1" si="54"/>
        <v>695</v>
      </c>
      <c r="J1135" s="35">
        <f t="shared" ca="1" si="54"/>
        <v>33.333333333333336</v>
      </c>
    </row>
    <row r="1136" spans="1:20">
      <c r="A1136" s="32"/>
      <c r="B1136" s="32"/>
      <c r="C1136" s="34"/>
      <c r="D1136" s="34"/>
      <c r="E1136" s="34"/>
      <c r="F1136" s="34"/>
      <c r="G1136" s="34"/>
    </row>
    <row r="1137" spans="1:2">
      <c r="A1137" s="32"/>
      <c r="B1137" s="32"/>
    </row>
    <row r="1138" spans="1:2">
      <c r="A1138" s="32"/>
      <c r="B1138" s="32"/>
    </row>
    <row r="1139" spans="1:2">
      <c r="A1139" s="32"/>
      <c r="B1139" s="32"/>
    </row>
    <row r="1140" spans="1:2">
      <c r="A1140" s="32"/>
      <c r="B1140" s="32"/>
    </row>
    <row r="1141" spans="1:2">
      <c r="A1141" s="32"/>
      <c r="B1141" s="32"/>
    </row>
    <row r="1142" spans="1:2">
      <c r="A1142" s="32"/>
      <c r="B1142" s="32"/>
    </row>
    <row r="1143" spans="1:2">
      <c r="A1143" s="32"/>
      <c r="B1143" s="32"/>
    </row>
    <row r="1144" spans="1:2">
      <c r="A1144" s="32"/>
      <c r="B1144" s="32"/>
    </row>
    <row r="1145" spans="1:2">
      <c r="A1145" s="32"/>
      <c r="B1145" s="32"/>
    </row>
    <row r="1146" spans="1:2">
      <c r="A1146" s="32"/>
      <c r="B1146" s="32"/>
    </row>
    <row r="1147" spans="1:2">
      <c r="A1147" s="32"/>
      <c r="B1147" s="32"/>
    </row>
    <row r="1148" spans="1:2">
      <c r="A1148" s="32"/>
      <c r="B1148" s="32"/>
    </row>
    <row r="1149" spans="1:2">
      <c r="A1149" s="32"/>
      <c r="B1149" s="32"/>
    </row>
    <row r="1150" spans="1:2">
      <c r="A1150" s="32"/>
      <c r="B1150" s="32"/>
    </row>
    <row r="1151" spans="1:2">
      <c r="A1151" s="32"/>
      <c r="B1151" s="32"/>
    </row>
    <row r="1152" spans="1:2">
      <c r="A1152" s="32"/>
      <c r="B1152" s="32"/>
    </row>
    <row r="1153" spans="1:2">
      <c r="A1153" s="32"/>
      <c r="B1153" s="32"/>
    </row>
    <row r="1154" spans="1:2">
      <c r="A1154" s="32"/>
      <c r="B1154" s="32"/>
    </row>
    <row r="1155" spans="1:2">
      <c r="A1155" s="32"/>
      <c r="B1155" s="32"/>
    </row>
  </sheetData>
  <mergeCells count="1">
    <mergeCell ref="C14:E14"/>
  </mergeCells>
  <pageMargins left="0.25" right="0.25" top="0.5" bottom="0.5" header="0.25" footer="0.25"/>
  <pageSetup scale="75" orientation="portrait" horizontalDpi="1200" verticalDpi="1200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G1155"/>
  <sheetViews>
    <sheetView zoomScale="70" zoomScaleNormal="70" workbookViewId="0">
      <pane xSplit="1" ySplit="16" topLeftCell="B18" activePane="bottomRight" state="frozen"/>
      <selection activeCell="A7" sqref="A7"/>
      <selection pane="topRight" activeCell="A7" sqref="A7"/>
      <selection pane="bottomLeft" activeCell="A7" sqref="A7"/>
      <selection pane="bottomRight" activeCell="B17" sqref="B17"/>
    </sheetView>
  </sheetViews>
  <sheetFormatPr defaultColWidth="7.109375" defaultRowHeight="12.75"/>
  <cols>
    <col min="1" max="1" width="7.5546875" style="33" bestFit="1" customWidth="1"/>
    <col min="2" max="2" width="10" style="33" customWidth="1"/>
    <col min="3" max="3" width="12" style="33" customWidth="1"/>
    <col min="4" max="4" width="12.109375" style="33" bestFit="1" customWidth="1"/>
    <col min="5" max="5" width="8.44140625" style="33" bestFit="1" customWidth="1"/>
    <col min="6" max="16384" width="7.109375" style="32"/>
  </cols>
  <sheetData>
    <row r="1" spans="1:7" ht="15.75">
      <c r="A1" s="84" t="s">
        <v>64</v>
      </c>
    </row>
    <row r="2" spans="1:7" ht="15.75">
      <c r="A2" s="84" t="s">
        <v>65</v>
      </c>
    </row>
    <row r="3" spans="1:7" ht="15.75">
      <c r="A3" s="84" t="s">
        <v>66</v>
      </c>
    </row>
    <row r="4" spans="1:7" ht="15.75">
      <c r="A4" s="84" t="s">
        <v>67</v>
      </c>
    </row>
    <row r="5" spans="1:7" ht="15.75">
      <c r="A5" s="84" t="s">
        <v>69</v>
      </c>
    </row>
    <row r="6" spans="1:7" ht="15.75">
      <c r="A6" s="84" t="s">
        <v>72</v>
      </c>
    </row>
    <row r="8" spans="1:7" ht="20.25">
      <c r="A8" s="31" t="s">
        <v>43</v>
      </c>
    </row>
    <row r="9" spans="1:7" ht="15" customHeight="1">
      <c r="A9" s="57" t="s">
        <v>25</v>
      </c>
    </row>
    <row r="10" spans="1:7" ht="15" customHeight="1">
      <c r="A10" s="62"/>
      <c r="F10" s="60"/>
      <c r="G10" s="60"/>
    </row>
    <row r="11" spans="1:7" ht="15" customHeight="1">
      <c r="A11" s="62"/>
      <c r="B11" s="61"/>
      <c r="C11" s="61"/>
      <c r="D11" s="61"/>
      <c r="E11" s="61"/>
      <c r="F11" s="60"/>
      <c r="G11" s="60"/>
    </row>
    <row r="12" spans="1:7" ht="15" customHeight="1"/>
    <row r="13" spans="1:7" ht="15" customHeight="1">
      <c r="B13" s="59" t="s">
        <v>24</v>
      </c>
      <c r="C13" s="58">
        <f>1-0.261</f>
        <v>0.73899999999999999</v>
      </c>
      <c r="D13" s="59" t="s">
        <v>23</v>
      </c>
      <c r="E13" s="58">
        <f>1+0.261</f>
        <v>1.2610000000000001</v>
      </c>
    </row>
    <row r="14" spans="1:7" ht="15" customHeight="1">
      <c r="A14" s="57"/>
      <c r="B14" s="87" t="s">
        <v>42</v>
      </c>
      <c r="C14" s="87"/>
      <c r="D14" s="56" t="s">
        <v>41</v>
      </c>
      <c r="E14" s="51"/>
    </row>
    <row r="15" spans="1:7" s="54" customFormat="1" ht="63">
      <c r="B15" s="55" t="s">
        <v>40</v>
      </c>
      <c r="C15" s="55" t="s">
        <v>39</v>
      </c>
      <c r="D15" s="55" t="s">
        <v>38</v>
      </c>
      <c r="E15" s="23" t="s">
        <v>37</v>
      </c>
    </row>
    <row r="16" spans="1:7" s="54" customFormat="1" ht="35.450000000000003" customHeight="1">
      <c r="A16" s="20" t="s">
        <v>2</v>
      </c>
      <c r="B16" s="46" t="s">
        <v>1</v>
      </c>
      <c r="C16" s="46" t="s">
        <v>1</v>
      </c>
      <c r="D16" s="46" t="s">
        <v>1</v>
      </c>
      <c r="E16" s="20" t="s">
        <v>36</v>
      </c>
    </row>
    <row r="17" spans="1:5" ht="15">
      <c r="A17" s="13">
        <v>42005</v>
      </c>
      <c r="B17" s="4">
        <f>8.0406 * CHOOSE(CONTROL!$C$9, $C$13, 100%, $E$13) + CHOOSE(CONTROL!$C$28, 0.0003, 0)</f>
        <v>8.0408999999999988</v>
      </c>
      <c r="C17" s="4">
        <f>7.6773 * CHOOSE(CONTROL!$C$9, $C$13, 100%, $E$13) + CHOOSE(CONTROL!$C$28, 0.0003, 0)</f>
        <v>7.6776</v>
      </c>
      <c r="D17" s="4">
        <f>15.1549 * CHOOSE(CONTROL!$C$9, $C$13, 100%, $E$13) + CHOOSE(CONTROL!$C$28, 0, 0)</f>
        <v>15.1549</v>
      </c>
      <c r="E17" s="4">
        <f>56.52 * CHOOSE(CONTROL!$C$9, $C$13, 100%, $E$13) + CHOOSE(CONTROL!$C$28, 0, 0)</f>
        <v>56.52</v>
      </c>
    </row>
    <row r="18" spans="1:5" ht="15">
      <c r="A18" s="13">
        <v>42036</v>
      </c>
      <c r="B18" s="4">
        <f>9.525 * CHOOSE(CONTROL!$C$9, $C$13, 100%, $E$13) + CHOOSE(CONTROL!$C$28, 0.0003, 0)</f>
        <v>9.5252999999999997</v>
      </c>
      <c r="C18" s="4">
        <f>9.1617 * CHOOSE(CONTROL!$C$9, $C$13, 100%, $E$13) + CHOOSE(CONTROL!$C$28, 0.0003, 0)</f>
        <v>9.161999999999999</v>
      </c>
      <c r="D18" s="4">
        <f>14.0001 * CHOOSE(CONTROL!$C$9, $C$13, 100%, $E$13) + CHOOSE(CONTROL!$C$28, 0, 0)</f>
        <v>14.0001</v>
      </c>
      <c r="E18" s="4">
        <f>46.39 * CHOOSE(CONTROL!$C$9, $C$13, 100%, $E$13) + CHOOSE(CONTROL!$C$28, 0, 0)</f>
        <v>46.39</v>
      </c>
    </row>
    <row r="19" spans="1:5" ht="15">
      <c r="A19" s="13">
        <v>42064</v>
      </c>
      <c r="B19" s="4">
        <f>8.4906 * CHOOSE(CONTROL!$C$9, $C$13, 100%, $E$13) + CHOOSE(CONTROL!$C$28, 0.0003, 0)</f>
        <v>8.4908999999999999</v>
      </c>
      <c r="C19" s="4">
        <f>8.1273 * CHOOSE(CONTROL!$C$9, $C$13, 100%, $E$13) + CHOOSE(CONTROL!$C$28, 0.0003, 0)</f>
        <v>8.1275999999999993</v>
      </c>
      <c r="D19" s="4">
        <f>18.4133 * CHOOSE(CONTROL!$C$9, $C$13, 100%, $E$13) + CHOOSE(CONTROL!$C$28, 0, 0)</f>
        <v>18.4133</v>
      </c>
      <c r="E19" s="4">
        <f>50.34 * CHOOSE(CONTROL!$C$9, $C$13, 100%, $E$13) + CHOOSE(CONTROL!$C$28, 0, 0)</f>
        <v>50.34</v>
      </c>
    </row>
    <row r="20" spans="1:5" ht="15">
      <c r="A20" s="13">
        <v>42095</v>
      </c>
      <c r="B20" s="4">
        <f>8.6812 * CHOOSE(CONTROL!$C$9, $C$13, 100%, $E$13) + CHOOSE(CONTROL!$C$28, 0.0003, 0)</f>
        <v>8.6814999999999998</v>
      </c>
      <c r="C20" s="4">
        <f>8.318 * CHOOSE(CONTROL!$C$9, $C$13, 100%, $E$13) + CHOOSE(CONTROL!$C$28, 0.0003, 0)</f>
        <v>8.3182999999999989</v>
      </c>
      <c r="D20" s="4">
        <f>14.2277 * CHOOSE(CONTROL!$C$9, $C$13, 100%, $E$13) + CHOOSE(CONTROL!$C$28, 0, 0)</f>
        <v>14.2277</v>
      </c>
      <c r="E20" s="4">
        <f>45.72 * CHOOSE(CONTROL!$C$9, $C$13, 100%, $E$13) + CHOOSE(CONTROL!$C$28, 0, 0)</f>
        <v>45.72</v>
      </c>
    </row>
    <row r="21" spans="1:5" ht="15">
      <c r="A21" s="13">
        <v>42125</v>
      </c>
      <c r="B21" s="4">
        <f>9.2438 * CHOOSE(CONTROL!$C$9, $C$13, 100%, $E$13) + CHOOSE(CONTROL!$C$28, 0.013, 0)</f>
        <v>9.2568000000000001</v>
      </c>
      <c r="C21" s="4">
        <f>8.8805 * CHOOSE(CONTROL!$C$9, $C$13, 100%, $E$13) + CHOOSE(CONTROL!$C$28, 0.013, 0)</f>
        <v>8.8934999999999995</v>
      </c>
      <c r="D21" s="4">
        <f>16.0893 * CHOOSE(CONTROL!$C$9, $C$13, 100%, $E$13) + CHOOSE(CONTROL!$C$28, 0, 0)</f>
        <v>16.089300000000001</v>
      </c>
      <c r="E21" s="4">
        <f>55.26 * CHOOSE(CONTROL!$C$9, $C$13, 100%, $E$13) + CHOOSE(CONTROL!$C$28, 0, 0)</f>
        <v>55.26</v>
      </c>
    </row>
    <row r="22" spans="1:5" ht="15">
      <c r="A22" s="13">
        <v>42156</v>
      </c>
      <c r="B22" s="4">
        <f>9.9453 * CHOOSE(CONTROL!$C$9, $C$13, 100%, $E$13) + CHOOSE(CONTROL!$C$28, 0.013, 0)</f>
        <v>9.9582999999999995</v>
      </c>
      <c r="C22" s="4">
        <f>9.582 * CHOOSE(CONTROL!$C$9, $C$13, 100%, $E$13) + CHOOSE(CONTROL!$C$28, 0.013, 0)</f>
        <v>9.5950000000000006</v>
      </c>
      <c r="D22" s="4">
        <f>16.1066 * CHOOSE(CONTROL!$C$9, $C$13, 100%, $E$13) + CHOOSE(CONTROL!$C$28, 0, 0)</f>
        <v>16.1066</v>
      </c>
      <c r="E22" s="4">
        <f>58.93 * CHOOSE(CONTROL!$C$9, $C$13, 100%, $E$13) + CHOOSE(CONTROL!$C$28, 0, 0)</f>
        <v>58.93</v>
      </c>
    </row>
    <row r="23" spans="1:5" ht="15">
      <c r="A23" s="13">
        <v>42186</v>
      </c>
      <c r="B23" s="4">
        <f>10.0156 * CHOOSE(CONTROL!$C$9, $C$13, 100%, $E$13) + CHOOSE(CONTROL!$C$28, 0.013, 0)</f>
        <v>10.028599999999999</v>
      </c>
      <c r="C23" s="4">
        <f>9.6523 * CHOOSE(CONTROL!$C$9, $C$13, 100%, $E$13) + CHOOSE(CONTROL!$C$28, 0.013, 0)</f>
        <v>9.6653000000000002</v>
      </c>
      <c r="D23" s="4">
        <f>16.157 * CHOOSE(CONTROL!$C$9, $C$13, 100%, $E$13) + CHOOSE(CONTROL!$C$28, 0, 0)</f>
        <v>16.157</v>
      </c>
      <c r="E23" s="4">
        <f>60.16 * CHOOSE(CONTROL!$C$9, $C$13, 100%, $E$13) + CHOOSE(CONTROL!$C$28, 0, 0)</f>
        <v>60.16</v>
      </c>
    </row>
    <row r="24" spans="1:5" ht="15">
      <c r="A24" s="13">
        <v>42217</v>
      </c>
      <c r="B24" s="4">
        <f>10.0781 * CHOOSE(CONTROL!$C$9, $C$13, 100%, $E$13) + CHOOSE(CONTROL!$C$28, 0.013, 0)</f>
        <v>10.091099999999999</v>
      </c>
      <c r="C24" s="4">
        <f>9.7148 * CHOOSE(CONTROL!$C$9, $C$13, 100%, $E$13) + CHOOSE(CONTROL!$C$28, 0.013, 0)</f>
        <v>9.7278000000000002</v>
      </c>
      <c r="D24" s="4">
        <f>16.2139 * CHOOSE(CONTROL!$C$9, $C$13, 100%, $E$13) + CHOOSE(CONTROL!$C$28, 0, 0)</f>
        <v>16.213899999999999</v>
      </c>
      <c r="E24" s="4">
        <f>60.87 * CHOOSE(CONTROL!$C$9, $C$13, 100%, $E$13) + CHOOSE(CONTROL!$C$28, 0, 0)</f>
        <v>60.87</v>
      </c>
    </row>
    <row r="25" spans="1:5" ht="15">
      <c r="A25" s="13">
        <v>42248</v>
      </c>
      <c r="B25" s="4">
        <f>10.1406 * CHOOSE(CONTROL!$C$9, $C$13, 100%, $E$13) + CHOOSE(CONTROL!$C$28, 0.013, 0)</f>
        <v>10.153599999999999</v>
      </c>
      <c r="C25" s="4">
        <f>9.7773 * CHOOSE(CONTROL!$C$9, $C$13, 100%, $E$13) + CHOOSE(CONTROL!$C$28, 0.013, 0)</f>
        <v>9.7903000000000002</v>
      </c>
      <c r="D25" s="4">
        <f>16.3083 * CHOOSE(CONTROL!$C$9, $C$13, 100%, $E$13) + CHOOSE(CONTROL!$C$28, 0, 0)</f>
        <v>16.308299999999999</v>
      </c>
      <c r="E25" s="4">
        <f>61.38 * CHOOSE(CONTROL!$C$9, $C$13, 100%, $E$13) + CHOOSE(CONTROL!$C$28, 0, 0)</f>
        <v>61.38</v>
      </c>
    </row>
    <row r="26" spans="1:5" ht="15">
      <c r="A26" s="13">
        <v>42278</v>
      </c>
      <c r="B26" s="4">
        <f>10.1953 * CHOOSE(CONTROL!$C$9, $C$13, 100%, $E$13) + CHOOSE(CONTROL!$C$28, 0.0003, 0)</f>
        <v>10.195599999999999</v>
      </c>
      <c r="C26" s="4">
        <f>9.832 * CHOOSE(CONTROL!$C$9, $C$13, 100%, $E$13) + CHOOSE(CONTROL!$C$28, 0.0003, 0)</f>
        <v>9.8323</v>
      </c>
      <c r="D26" s="4">
        <f>16.4178 * CHOOSE(CONTROL!$C$9, $C$13, 100%, $E$13) + CHOOSE(CONTROL!$C$28, 0, 0)</f>
        <v>16.4178</v>
      </c>
      <c r="E26" s="4">
        <f>61.85 * CHOOSE(CONTROL!$C$9, $C$13, 100%, $E$13) + CHOOSE(CONTROL!$C$28, 0, 0)</f>
        <v>61.85</v>
      </c>
    </row>
    <row r="27" spans="1:5" ht="15">
      <c r="A27" s="13">
        <v>42309</v>
      </c>
      <c r="B27" s="4">
        <f>10.25 * CHOOSE(CONTROL!$C$9, $C$13, 100%, $E$13) + CHOOSE(CONTROL!$C$28, 0.0003, 0)</f>
        <v>10.250299999999999</v>
      </c>
      <c r="C27" s="4">
        <f>9.8867 * CHOOSE(CONTROL!$C$9, $C$13, 100%, $E$13) + CHOOSE(CONTROL!$C$28, 0.0003, 0)</f>
        <v>9.8869999999999987</v>
      </c>
      <c r="D27" s="4">
        <f>16.5215 * CHOOSE(CONTROL!$C$9, $C$13, 100%, $E$13) + CHOOSE(CONTROL!$C$28, 0, 0)</f>
        <v>16.5215</v>
      </c>
      <c r="E27" s="4">
        <f>62.33 * CHOOSE(CONTROL!$C$9, $C$13, 100%, $E$13) + CHOOSE(CONTROL!$C$28, 0, 0)</f>
        <v>62.33</v>
      </c>
    </row>
    <row r="28" spans="1:5" ht="15">
      <c r="A28" s="13">
        <v>42339</v>
      </c>
      <c r="B28" s="4">
        <f>10.3047 * CHOOSE(CONTROL!$C$9, $C$13, 100%, $E$13) + CHOOSE(CONTROL!$C$28, 0.0003, 0)</f>
        <v>10.305</v>
      </c>
      <c r="C28" s="4">
        <f>9.9414 * CHOOSE(CONTROL!$C$9, $C$13, 100%, $E$13) + CHOOSE(CONTROL!$C$28, 0.0003, 0)</f>
        <v>9.9416999999999991</v>
      </c>
      <c r="D28" s="4">
        <f>16.6173 * CHOOSE(CONTROL!$C$9, $C$13, 100%, $E$13) + CHOOSE(CONTROL!$C$28, 0, 0)</f>
        <v>16.6173</v>
      </c>
      <c r="E28" s="4">
        <f>62.78 * CHOOSE(CONTROL!$C$9, $C$13, 100%, $E$13) + CHOOSE(CONTROL!$C$28, 0, 0)</f>
        <v>62.78</v>
      </c>
    </row>
    <row r="29" spans="1:5" ht="15">
      <c r="A29" s="13">
        <v>42370</v>
      </c>
      <c r="B29" s="4">
        <f>10.3516 * CHOOSE(CONTROL!$C$9, $C$13, 100%, $E$13) + CHOOSE(CONTROL!$C$28, 0.0003, 0)</f>
        <v>10.351899999999999</v>
      </c>
      <c r="C29" s="4">
        <f>9.9883 * CHOOSE(CONTROL!$C$9, $C$13, 100%, $E$13) + CHOOSE(CONTROL!$C$28, 0.0003, 0)</f>
        <v>9.9885999999999999</v>
      </c>
      <c r="D29" s="4">
        <f>16.7067 * CHOOSE(CONTROL!$C$9, $C$13, 100%, $E$13) + CHOOSE(CONTROL!$C$28, 0, 0)</f>
        <v>16.706700000000001</v>
      </c>
      <c r="E29" s="4">
        <f>63.14 * CHOOSE(CONTROL!$C$9, $C$13, 100%, $E$13) + CHOOSE(CONTROL!$C$28, 0, 0)</f>
        <v>63.14</v>
      </c>
    </row>
    <row r="30" spans="1:5" ht="15">
      <c r="A30" s="13">
        <v>42401</v>
      </c>
      <c r="B30" s="4">
        <f>10.3984 * CHOOSE(CONTROL!$C$9, $C$13, 100%, $E$13) + CHOOSE(CONTROL!$C$28, 0.0003, 0)</f>
        <v>10.3987</v>
      </c>
      <c r="C30" s="4">
        <f>10.0352 * CHOOSE(CONTROL!$C$9, $C$13, 100%, $E$13) + CHOOSE(CONTROL!$C$28, 0.0003, 0)</f>
        <v>10.035499999999999</v>
      </c>
      <c r="D30" s="4">
        <f>16.7297 * CHOOSE(CONTROL!$C$9, $C$13, 100%, $E$13) + CHOOSE(CONTROL!$C$28, 0, 0)</f>
        <v>16.729700000000001</v>
      </c>
      <c r="E30" s="4">
        <f>63.39 * CHOOSE(CONTROL!$C$9, $C$13, 100%, $E$13) + CHOOSE(CONTROL!$C$28, 0, 0)</f>
        <v>63.39</v>
      </c>
    </row>
    <row r="31" spans="1:5" ht="15">
      <c r="A31" s="13">
        <v>42430</v>
      </c>
      <c r="B31" s="4">
        <f>10.4453 * CHOOSE(CONTROL!$C$9, $C$13, 100%, $E$13) + CHOOSE(CONTROL!$C$28, 0.0003, 0)</f>
        <v>10.445599999999999</v>
      </c>
      <c r="C31" s="4">
        <f>10.082 * CHOOSE(CONTROL!$C$9, $C$13, 100%, $E$13) + CHOOSE(CONTROL!$C$28, 0.0003, 0)</f>
        <v>10.0823</v>
      </c>
      <c r="D31" s="4">
        <f>16.6879 * CHOOSE(CONTROL!$C$9, $C$13, 100%, $E$13) + CHOOSE(CONTROL!$C$28, 0, 0)</f>
        <v>16.687899999999999</v>
      </c>
      <c r="E31" s="4">
        <f>63.58 * CHOOSE(CONTROL!$C$9, $C$13, 100%, $E$13) + CHOOSE(CONTROL!$C$28, 0, 0)</f>
        <v>63.58</v>
      </c>
    </row>
    <row r="32" spans="1:5" ht="15">
      <c r="A32" s="13">
        <v>42461</v>
      </c>
      <c r="B32" s="4">
        <f>10.5 * CHOOSE(CONTROL!$C$9, $C$13, 100%, $E$13) + CHOOSE(CONTROL!$C$28, 0.0003, 0)</f>
        <v>10.500299999999999</v>
      </c>
      <c r="C32" s="4">
        <f>10.1367 * CHOOSE(CONTROL!$C$9, $C$13, 100%, $E$13) + CHOOSE(CONTROL!$C$28, 0.0003, 0)</f>
        <v>10.136999999999999</v>
      </c>
      <c r="D32" s="4">
        <f>16.6058 * CHOOSE(CONTROL!$C$9, $C$13, 100%, $E$13) + CHOOSE(CONTROL!$C$28, 0, 0)</f>
        <v>16.605799999999999</v>
      </c>
      <c r="E32" s="4">
        <f>63.77 * CHOOSE(CONTROL!$C$9, $C$13, 100%, $E$13) + CHOOSE(CONTROL!$C$28, 0, 0)</f>
        <v>63.77</v>
      </c>
    </row>
    <row r="33" spans="1:5" ht="15">
      <c r="A33" s="13">
        <v>42491</v>
      </c>
      <c r="B33" s="4">
        <f>10.5547 * CHOOSE(CONTROL!$C$9, $C$13, 100%, $E$13) + CHOOSE(CONTROL!$C$28, 0.013, 0)</f>
        <v>10.5677</v>
      </c>
      <c r="C33" s="4">
        <f>10.1914 * CHOOSE(CONTROL!$C$9, $C$13, 100%, $E$13) + CHOOSE(CONTROL!$C$28, 0.013, 0)</f>
        <v>10.2044</v>
      </c>
      <c r="D33" s="4">
        <f>16.6109 * CHOOSE(CONTROL!$C$9, $C$13, 100%, $E$13) + CHOOSE(CONTROL!$C$28, 0, 0)</f>
        <v>16.610900000000001</v>
      </c>
      <c r="E33" s="4">
        <f>63.95 * CHOOSE(CONTROL!$C$9, $C$13, 100%, $E$13) + CHOOSE(CONTROL!$C$28, 0, 0)</f>
        <v>63.95</v>
      </c>
    </row>
    <row r="34" spans="1:5" ht="15">
      <c r="A34" s="13">
        <v>42522</v>
      </c>
      <c r="B34" s="4">
        <f>10.6094 * CHOOSE(CONTROL!$C$9, $C$13, 100%, $E$13) + CHOOSE(CONTROL!$C$28, 0.013, 0)</f>
        <v>10.622400000000001</v>
      </c>
      <c r="C34" s="4">
        <f>10.2461 * CHOOSE(CONTROL!$C$9, $C$13, 100%, $E$13) + CHOOSE(CONTROL!$C$28, 0.013, 0)</f>
        <v>10.2591</v>
      </c>
      <c r="D34" s="4">
        <f>16.6562 * CHOOSE(CONTROL!$C$9, $C$13, 100%, $E$13) + CHOOSE(CONTROL!$C$28, 0, 0)</f>
        <v>16.656199999999998</v>
      </c>
      <c r="E34" s="4">
        <f>64.14 * CHOOSE(CONTROL!$C$9, $C$13, 100%, $E$13) + CHOOSE(CONTROL!$C$28, 0, 0)</f>
        <v>64.14</v>
      </c>
    </row>
    <row r="35" spans="1:5" ht="15">
      <c r="A35" s="13">
        <v>42552</v>
      </c>
      <c r="B35" s="4">
        <f>10.6641 * CHOOSE(CONTROL!$C$9, $C$13, 100%, $E$13) + CHOOSE(CONTROL!$C$28, 0.013, 0)</f>
        <v>10.677099999999999</v>
      </c>
      <c r="C35" s="4">
        <f>10.3008 * CHOOSE(CONTROL!$C$9, $C$13, 100%, $E$13) + CHOOSE(CONTROL!$C$28, 0.013, 0)</f>
        <v>10.313800000000001</v>
      </c>
      <c r="D35" s="4">
        <f>16.7268 * CHOOSE(CONTROL!$C$9, $C$13, 100%, $E$13) + CHOOSE(CONTROL!$C$28, 0, 0)</f>
        <v>16.726800000000001</v>
      </c>
      <c r="E35" s="4">
        <f>64.26 * CHOOSE(CONTROL!$C$9, $C$13, 100%, $E$13) + CHOOSE(CONTROL!$C$28, 0, 0)</f>
        <v>64.260000000000005</v>
      </c>
    </row>
    <row r="36" spans="1:5" ht="15">
      <c r="A36" s="13">
        <v>42583</v>
      </c>
      <c r="B36" s="4">
        <f>10.7188 * CHOOSE(CONTROL!$C$9, $C$13, 100%, $E$13) + CHOOSE(CONTROL!$C$28, 0.013, 0)</f>
        <v>10.7318</v>
      </c>
      <c r="C36" s="4">
        <f>10.3555 * CHOOSE(CONTROL!$C$9, $C$13, 100%, $E$13) + CHOOSE(CONTROL!$C$28, 0.013, 0)</f>
        <v>10.368499999999999</v>
      </c>
      <c r="D36" s="4">
        <f>16.8075 * CHOOSE(CONTROL!$C$9, $C$13, 100%, $E$13) + CHOOSE(CONTROL!$C$28, 0, 0)</f>
        <v>16.807500000000001</v>
      </c>
      <c r="E36" s="4">
        <f>64.39 * CHOOSE(CONTROL!$C$9, $C$13, 100%, $E$13) + CHOOSE(CONTROL!$C$28, 0, 0)</f>
        <v>64.39</v>
      </c>
    </row>
    <row r="37" spans="1:5" ht="15">
      <c r="A37" s="13">
        <v>42614</v>
      </c>
      <c r="B37" s="4">
        <f>10.7734 * CHOOSE(CONTROL!$C$9, $C$13, 100%, $E$13) + CHOOSE(CONTROL!$C$28, 0.013, 0)</f>
        <v>10.7864</v>
      </c>
      <c r="C37" s="4">
        <f>10.4102 * CHOOSE(CONTROL!$C$9, $C$13, 100%, $E$13) + CHOOSE(CONTROL!$C$28, 0.013, 0)</f>
        <v>10.4232</v>
      </c>
      <c r="D37" s="4">
        <f>16.8846 * CHOOSE(CONTROL!$C$9, $C$13, 100%, $E$13) + CHOOSE(CONTROL!$C$28, 0, 0)</f>
        <v>16.884599999999999</v>
      </c>
      <c r="E37" s="4">
        <f>64.54 * CHOOSE(CONTROL!$C$9, $C$13, 100%, $E$13) + CHOOSE(CONTROL!$C$28, 0, 0)</f>
        <v>64.540000000000006</v>
      </c>
    </row>
    <row r="38" spans="1:5" ht="15">
      <c r="A38" s="13">
        <v>42644</v>
      </c>
      <c r="B38" s="4">
        <f>10.8281 * CHOOSE(CONTROL!$C$9, $C$13, 100%, $E$13) + CHOOSE(CONTROL!$C$28, 0.0003, 0)</f>
        <v>10.828399999999998</v>
      </c>
      <c r="C38" s="4">
        <f>10.4648 * CHOOSE(CONTROL!$C$9, $C$13, 100%, $E$13) + CHOOSE(CONTROL!$C$28, 0.0003, 0)</f>
        <v>10.4651</v>
      </c>
      <c r="D38" s="4">
        <f>16.9689 * CHOOSE(CONTROL!$C$9, $C$13, 100%, $E$13) + CHOOSE(CONTROL!$C$28, 0, 0)</f>
        <v>16.968900000000001</v>
      </c>
      <c r="E38" s="4">
        <f>64.71 * CHOOSE(CONTROL!$C$9, $C$13, 100%, $E$13) + CHOOSE(CONTROL!$C$28, 0, 0)</f>
        <v>64.709999999999994</v>
      </c>
    </row>
    <row r="39" spans="1:5" ht="15">
      <c r="A39" s="13">
        <v>42675</v>
      </c>
      <c r="B39" s="4">
        <f>10.8828 * CHOOSE(CONTROL!$C$9, $C$13, 100%, $E$13) + CHOOSE(CONTROL!$C$28, 0.0003, 0)</f>
        <v>10.883099999999999</v>
      </c>
      <c r="C39" s="4">
        <f>10.5195 * CHOOSE(CONTROL!$C$9, $C$13, 100%, $E$13) + CHOOSE(CONTROL!$C$28, 0.0003, 0)</f>
        <v>10.5198</v>
      </c>
      <c r="D39" s="4">
        <f>17.0301 * CHOOSE(CONTROL!$C$9, $C$13, 100%, $E$13) + CHOOSE(CONTROL!$C$28, 0, 0)</f>
        <v>17.030100000000001</v>
      </c>
      <c r="E39" s="4">
        <f>64.9 * CHOOSE(CONTROL!$C$9, $C$13, 100%, $E$13) + CHOOSE(CONTROL!$C$28, 0, 0)</f>
        <v>64.900000000000006</v>
      </c>
    </row>
    <row r="40" spans="1:5" ht="15">
      <c r="A40" s="13">
        <v>42705</v>
      </c>
      <c r="B40" s="4">
        <f>10.9375 * CHOOSE(CONTROL!$C$9, $C$13, 100%, $E$13) + CHOOSE(CONTROL!$C$28, 0.0003, 0)</f>
        <v>10.937799999999999</v>
      </c>
      <c r="C40" s="4">
        <f>10.5742 * CHOOSE(CONTROL!$C$9, $C$13, 100%, $E$13) + CHOOSE(CONTROL!$C$28, 0.0003, 0)</f>
        <v>10.574499999999999</v>
      </c>
      <c r="D40" s="4">
        <f>17.0928 * CHOOSE(CONTROL!$C$9, $C$13, 100%, $E$13) + CHOOSE(CONTROL!$C$28, 0, 0)</f>
        <v>17.0928</v>
      </c>
      <c r="E40" s="4">
        <f>65.08 * CHOOSE(CONTROL!$C$9, $C$13, 100%, $E$13) + CHOOSE(CONTROL!$C$28, 0, 0)</f>
        <v>65.08</v>
      </c>
    </row>
    <row r="41" spans="1:5" ht="15">
      <c r="A41" s="13">
        <v>42736</v>
      </c>
      <c r="B41" s="4">
        <f>10.6609 * CHOOSE(CONTROL!$C$9, $C$13, 100%, $E$13) + CHOOSE(CONTROL!$C$28, 0.0003, 0)</f>
        <v>10.661199999999999</v>
      </c>
      <c r="C41" s="4">
        <f>10.2977 * CHOOSE(CONTROL!$C$9, $C$13, 100%, $E$13) + CHOOSE(CONTROL!$C$28, 0.0003, 0)</f>
        <v>10.298</v>
      </c>
      <c r="D41" s="4">
        <f>17.154 * CHOOSE(CONTROL!$C$9, $C$13, 100%, $E$13) + CHOOSE(CONTROL!$C$28, 0, 0)</f>
        <v>17.154</v>
      </c>
      <c r="E41" s="4">
        <f>65.12 * CHOOSE(CONTROL!$C$9, $C$13, 100%, $E$13) + CHOOSE(CONTROL!$C$28, 0, 0)</f>
        <v>65.12</v>
      </c>
    </row>
    <row r="42" spans="1:5" ht="15">
      <c r="A42" s="13">
        <v>42767</v>
      </c>
      <c r="B42" s="4">
        <f>10.6734 * CHOOSE(CONTROL!$C$9, $C$13, 100%, $E$13) + CHOOSE(CONTROL!$C$28, 0.0003, 0)</f>
        <v>10.6737</v>
      </c>
      <c r="C42" s="4">
        <f>10.3102 * CHOOSE(CONTROL!$C$9, $C$13, 100%, $E$13) + CHOOSE(CONTROL!$C$28, 0.0003, 0)</f>
        <v>10.310499999999999</v>
      </c>
      <c r="D42" s="4">
        <f>17.1793 * CHOOSE(CONTROL!$C$9, $C$13, 100%, $E$13) + CHOOSE(CONTROL!$C$28, 0, 0)</f>
        <v>17.179300000000001</v>
      </c>
      <c r="E42" s="4">
        <f>65.15 * CHOOSE(CONTROL!$C$9, $C$13, 100%, $E$13) + CHOOSE(CONTROL!$C$28, 0, 0)</f>
        <v>65.150000000000006</v>
      </c>
    </row>
    <row r="43" spans="1:5" ht="15">
      <c r="A43" s="13">
        <v>42795</v>
      </c>
      <c r="B43" s="4">
        <f>10.7016 * CHOOSE(CONTROL!$C$9, $C$13, 100%, $E$13) + CHOOSE(CONTROL!$C$28, 0.0003, 0)</f>
        <v>10.701899999999998</v>
      </c>
      <c r="C43" s="4">
        <f>10.3383 * CHOOSE(CONTROL!$C$9, $C$13, 100%, $E$13) + CHOOSE(CONTROL!$C$28, 0.0003, 0)</f>
        <v>10.3386</v>
      </c>
      <c r="D43" s="4">
        <f>17.1576 * CHOOSE(CONTROL!$C$9, $C$13, 100%, $E$13) + CHOOSE(CONTROL!$C$28, 0, 0)</f>
        <v>17.157599999999999</v>
      </c>
      <c r="E43" s="4">
        <f>65.22 * CHOOSE(CONTROL!$C$9, $C$13, 100%, $E$13) + CHOOSE(CONTROL!$C$28, 0, 0)</f>
        <v>65.22</v>
      </c>
    </row>
    <row r="44" spans="1:5" ht="15">
      <c r="A44" s="13">
        <v>42826</v>
      </c>
      <c r="B44" s="4">
        <f>10.7391 * CHOOSE(CONTROL!$C$9, $C$13, 100%, $E$13) + CHOOSE(CONTROL!$C$28, 0.0003, 0)</f>
        <v>10.7394</v>
      </c>
      <c r="C44" s="4">
        <f>10.3758 * CHOOSE(CONTROL!$C$9, $C$13, 100%, $E$13) + CHOOSE(CONTROL!$C$28, 0.0003, 0)</f>
        <v>10.376099999999999</v>
      </c>
      <c r="D44" s="4">
        <f>17.082 * CHOOSE(CONTROL!$C$9, $C$13, 100%, $E$13) + CHOOSE(CONTROL!$C$28, 0, 0)</f>
        <v>17.082000000000001</v>
      </c>
      <c r="E44" s="4">
        <f>65.3 * CHOOSE(CONTROL!$C$9, $C$13, 100%, $E$13) + CHOOSE(CONTROL!$C$28, 0, 0)</f>
        <v>65.3</v>
      </c>
    </row>
    <row r="45" spans="1:5" ht="15">
      <c r="A45" s="13">
        <v>42856</v>
      </c>
      <c r="B45" s="4">
        <f>10.7781 * CHOOSE(CONTROL!$C$9, $C$13, 100%, $E$13) + CHOOSE(CONTROL!$C$28, 0.013, 0)</f>
        <v>10.7911</v>
      </c>
      <c r="C45" s="4">
        <f>10.4148 * CHOOSE(CONTROL!$C$9, $C$13, 100%, $E$13) + CHOOSE(CONTROL!$C$28, 0.013, 0)</f>
        <v>10.4278</v>
      </c>
      <c r="D45" s="4">
        <f>17.0604 * CHOOSE(CONTROL!$C$9, $C$13, 100%, $E$13) + CHOOSE(CONTROL!$C$28, 0, 0)</f>
        <v>17.060400000000001</v>
      </c>
      <c r="E45" s="4">
        <f>65.38 * CHOOSE(CONTROL!$C$9, $C$13, 100%, $E$13) + CHOOSE(CONTROL!$C$28, 0, 0)</f>
        <v>65.38</v>
      </c>
    </row>
    <row r="46" spans="1:5" ht="15">
      <c r="A46" s="13">
        <v>42887</v>
      </c>
      <c r="B46" s="4">
        <f>10.8172 * CHOOSE(CONTROL!$C$9, $C$13, 100%, $E$13) + CHOOSE(CONTROL!$C$28, 0.013, 0)</f>
        <v>10.8302</v>
      </c>
      <c r="C46" s="4">
        <f>10.4539 * CHOOSE(CONTROL!$C$9, $C$13, 100%, $E$13) + CHOOSE(CONTROL!$C$28, 0.013, 0)</f>
        <v>10.466900000000001</v>
      </c>
      <c r="D46" s="4">
        <f>17.0496 * CHOOSE(CONTROL!$C$9, $C$13, 100%, $E$13) + CHOOSE(CONTROL!$C$28, 0, 0)</f>
        <v>17.049600000000002</v>
      </c>
      <c r="E46" s="4">
        <f>65.47 * CHOOSE(CONTROL!$C$9, $C$13, 100%, $E$13) + CHOOSE(CONTROL!$C$28, 0, 0)</f>
        <v>65.47</v>
      </c>
    </row>
    <row r="47" spans="1:5" ht="15">
      <c r="A47" s="13">
        <v>42917</v>
      </c>
      <c r="B47" s="4">
        <f>10.8547 * CHOOSE(CONTROL!$C$9, $C$13, 100%, $E$13) + CHOOSE(CONTROL!$C$28, 0.013, 0)</f>
        <v>10.867699999999999</v>
      </c>
      <c r="C47" s="4">
        <f>10.4914 * CHOOSE(CONTROL!$C$9, $C$13, 100%, $E$13) + CHOOSE(CONTROL!$C$28, 0.013, 0)</f>
        <v>10.5044</v>
      </c>
      <c r="D47" s="4">
        <f>17.082 * CHOOSE(CONTROL!$C$9, $C$13, 100%, $E$13) + CHOOSE(CONTROL!$C$28, 0, 0)</f>
        <v>17.082000000000001</v>
      </c>
      <c r="E47" s="4">
        <f>65.48 * CHOOSE(CONTROL!$C$9, $C$13, 100%, $E$13) + CHOOSE(CONTROL!$C$28, 0, 0)</f>
        <v>65.48</v>
      </c>
    </row>
    <row r="48" spans="1:5" ht="15">
      <c r="A48" s="13">
        <v>42948</v>
      </c>
      <c r="B48" s="4">
        <f>10.9016 * CHOOSE(CONTROL!$C$9, $C$13, 100%, $E$13) + CHOOSE(CONTROL!$C$28, 0.013, 0)</f>
        <v>10.9146</v>
      </c>
      <c r="C48" s="4">
        <f>10.5383 * CHOOSE(CONTROL!$C$9, $C$13, 100%, $E$13) + CHOOSE(CONTROL!$C$28, 0.013, 0)</f>
        <v>10.551299999999999</v>
      </c>
      <c r="D48" s="4">
        <f>17.1324 * CHOOSE(CONTROL!$C$9, $C$13, 100%, $E$13) + CHOOSE(CONTROL!$C$28, 0, 0)</f>
        <v>17.132400000000001</v>
      </c>
      <c r="E48" s="4">
        <f>65.56 * CHOOSE(CONTROL!$C$9, $C$13, 100%, $E$13) + CHOOSE(CONTROL!$C$28, 0, 0)</f>
        <v>65.56</v>
      </c>
    </row>
    <row r="49" spans="1:5" ht="15">
      <c r="A49" s="13">
        <v>42979</v>
      </c>
      <c r="B49" s="4">
        <f>10.9484 * CHOOSE(CONTROL!$C$9, $C$13, 100%, $E$13) + CHOOSE(CONTROL!$C$28, 0.013, 0)</f>
        <v>10.961399999999999</v>
      </c>
      <c r="C49" s="4">
        <f>10.5852 * CHOOSE(CONTROL!$C$9, $C$13, 100%, $E$13) + CHOOSE(CONTROL!$C$28, 0.013, 0)</f>
        <v>10.5982</v>
      </c>
      <c r="D49" s="4">
        <f>17.1829 * CHOOSE(CONTROL!$C$9, $C$13, 100%, $E$13) + CHOOSE(CONTROL!$C$28, 0, 0)</f>
        <v>17.1829</v>
      </c>
      <c r="E49" s="4">
        <f>65.66 * CHOOSE(CONTROL!$C$9, $C$13, 100%, $E$13) + CHOOSE(CONTROL!$C$28, 0, 0)</f>
        <v>65.66</v>
      </c>
    </row>
    <row r="50" spans="1:5" ht="15">
      <c r="A50" s="13">
        <v>43009</v>
      </c>
      <c r="B50" s="4">
        <f>10.9937 * CHOOSE(CONTROL!$C$9, $C$13, 100%, $E$13) + CHOOSE(CONTROL!$C$28, 0.0003, 0)</f>
        <v>10.994</v>
      </c>
      <c r="C50" s="4">
        <f>10.6305 * CHOOSE(CONTROL!$C$9, $C$13, 100%, $E$13) + CHOOSE(CONTROL!$C$28, 0.0003, 0)</f>
        <v>10.630799999999999</v>
      </c>
      <c r="D50" s="4">
        <f>17.2297 * CHOOSE(CONTROL!$C$9, $C$13, 100%, $E$13) + CHOOSE(CONTROL!$C$28, 0, 0)</f>
        <v>17.229700000000001</v>
      </c>
      <c r="E50" s="4">
        <f>65.77 * CHOOSE(CONTROL!$C$9, $C$13, 100%, $E$13) + CHOOSE(CONTROL!$C$28, 0, 0)</f>
        <v>65.77</v>
      </c>
    </row>
    <row r="51" spans="1:5" ht="15">
      <c r="A51" s="13">
        <v>43040</v>
      </c>
      <c r="B51" s="4">
        <f>11.0359 * CHOOSE(CONTROL!$C$9, $C$13, 100%, $E$13) + CHOOSE(CONTROL!$C$28, 0.0003, 0)</f>
        <v>11.036199999999999</v>
      </c>
      <c r="C51" s="4">
        <f>10.6727 * CHOOSE(CONTROL!$C$9, $C$13, 100%, $E$13) + CHOOSE(CONTROL!$C$28, 0.0003, 0)</f>
        <v>10.673</v>
      </c>
      <c r="D51" s="4">
        <f>17.2621 * CHOOSE(CONTROL!$C$9, $C$13, 100%, $E$13) + CHOOSE(CONTROL!$C$28, 0, 0)</f>
        <v>17.2621</v>
      </c>
      <c r="E51" s="4">
        <f>65.88 * CHOOSE(CONTROL!$C$9, $C$13, 100%, $E$13) + CHOOSE(CONTROL!$C$28, 0, 0)</f>
        <v>65.88</v>
      </c>
    </row>
    <row r="52" spans="1:5" ht="15">
      <c r="A52" s="13">
        <v>43070</v>
      </c>
      <c r="B52" s="4">
        <f>11.0812 * CHOOSE(CONTROL!$C$9, $C$13, 100%, $E$13) + CHOOSE(CONTROL!$C$28, 0.0003, 0)</f>
        <v>11.0815</v>
      </c>
      <c r="C52" s="4">
        <f>10.718 * CHOOSE(CONTROL!$C$9, $C$13, 100%, $E$13) + CHOOSE(CONTROL!$C$28, 0.0003, 0)</f>
        <v>10.718299999999999</v>
      </c>
      <c r="D52" s="4">
        <f>17.2909 * CHOOSE(CONTROL!$C$9, $C$13, 100%, $E$13) + CHOOSE(CONTROL!$C$28, 0, 0)</f>
        <v>17.290900000000001</v>
      </c>
      <c r="E52" s="4">
        <f>66 * CHOOSE(CONTROL!$C$9, $C$13, 100%, $E$13) + CHOOSE(CONTROL!$C$28, 0, 0)</f>
        <v>66</v>
      </c>
    </row>
    <row r="53" spans="1:5" ht="15">
      <c r="A53" s="13">
        <v>43101</v>
      </c>
      <c r="B53" s="4">
        <f>10.8058 * CHOOSE(CONTROL!$C$9, $C$13, 100%, $E$13) + CHOOSE(CONTROL!$C$28, 0.0003, 0)</f>
        <v>10.806099999999999</v>
      </c>
      <c r="C53" s="4">
        <f>10.4426 * CHOOSE(CONTROL!$C$9, $C$13, 100%, $E$13) + CHOOSE(CONTROL!$C$28, 0.0003, 0)</f>
        <v>10.4429</v>
      </c>
      <c r="D53" s="4">
        <f>16.8722 * CHOOSE(CONTROL!$C$9, $C$13, 100%, $E$13) + CHOOSE(CONTROL!$C$28, 0, 0)</f>
        <v>16.872199999999999</v>
      </c>
      <c r="E53" s="4">
        <f>66.6115959019392 * CHOOSE(CONTROL!$C$9, $C$13, 100%, $E$13) + CHOOSE(CONTROL!$C$28, 0, 0)</f>
        <v>66.611595901939197</v>
      </c>
    </row>
    <row r="54" spans="1:5" ht="15">
      <c r="A54" s="13">
        <v>43132</v>
      </c>
      <c r="B54" s="4">
        <f>11.0441 * CHOOSE(CONTROL!$C$9, $C$13, 100%, $E$13) + CHOOSE(CONTROL!$C$28, 0.0003, 0)</f>
        <v>11.0444</v>
      </c>
      <c r="C54" s="4">
        <f>10.6808 * CHOOSE(CONTROL!$C$9, $C$13, 100%, $E$13) + CHOOSE(CONTROL!$C$28, 0.0003, 0)</f>
        <v>10.681099999999999</v>
      </c>
      <c r="D54" s="4">
        <f>17.4023 * CHOOSE(CONTROL!$C$9, $C$13, 100%, $E$13) + CHOOSE(CONTROL!$C$28, 0, 0)</f>
        <v>17.4023</v>
      </c>
      <c r="E54" s="4">
        <f>68.1932176989184 * CHOOSE(CONTROL!$C$9, $C$13, 100%, $E$13) + CHOOSE(CONTROL!$C$28, 0, 0)</f>
        <v>68.193217698918403</v>
      </c>
    </row>
    <row r="55" spans="1:5" ht="15">
      <c r="A55" s="13">
        <v>43160</v>
      </c>
      <c r="B55" s="4">
        <f>11.6696 * CHOOSE(CONTROL!$C$9, $C$13, 100%, $E$13) + CHOOSE(CONTROL!$C$28, 0.0003, 0)</f>
        <v>11.6699</v>
      </c>
      <c r="C55" s="4">
        <f>11.3063 * CHOOSE(CONTROL!$C$9, $C$13, 100%, $E$13) + CHOOSE(CONTROL!$C$28, 0.0003, 0)</f>
        <v>11.3066</v>
      </c>
      <c r="D55" s="4">
        <f>18.2322 * CHOOSE(CONTROL!$C$9, $C$13, 100%, $E$13) + CHOOSE(CONTROL!$C$28, 0, 0)</f>
        <v>18.232199999999999</v>
      </c>
      <c r="E55" s="4">
        <f>72.3466405902726 * CHOOSE(CONTROL!$C$9, $C$13, 100%, $E$13) + CHOOSE(CONTROL!$C$28, 0, 0)</f>
        <v>72.3466405902726</v>
      </c>
    </row>
    <row r="56" spans="1:5" ht="15">
      <c r="A56" s="13">
        <v>43191</v>
      </c>
      <c r="B56" s="4">
        <f>12.1141 * CHOOSE(CONTROL!$C$9, $C$13, 100%, $E$13) + CHOOSE(CONTROL!$C$28, 0.0003, 0)</f>
        <v>12.1144</v>
      </c>
      <c r="C56" s="4">
        <f>11.7508 * CHOOSE(CONTROL!$C$9, $C$13, 100%, $E$13) + CHOOSE(CONTROL!$C$28, 0.0003, 0)</f>
        <v>11.751099999999999</v>
      </c>
      <c r="D56" s="4">
        <f>18.7102 * CHOOSE(CONTROL!$C$9, $C$13, 100%, $E$13) + CHOOSE(CONTROL!$C$28, 0, 0)</f>
        <v>18.7102</v>
      </c>
      <c r="E56" s="4">
        <f>75.2977029062176 * CHOOSE(CONTROL!$C$9, $C$13, 100%, $E$13) + CHOOSE(CONTROL!$C$28, 0, 0)</f>
        <v>75.297702906217594</v>
      </c>
    </row>
    <row r="57" spans="1:5" ht="15">
      <c r="A57" s="13">
        <v>43221</v>
      </c>
      <c r="B57" s="4">
        <f>12.3856 * CHOOSE(CONTROL!$C$9, $C$13, 100%, $E$13) + CHOOSE(CONTROL!$C$28, 0.013, 0)</f>
        <v>12.3986</v>
      </c>
      <c r="C57" s="4">
        <f>12.0223 * CHOOSE(CONTROL!$C$9, $C$13, 100%, $E$13) + CHOOSE(CONTROL!$C$28, 0.013, 0)</f>
        <v>12.035299999999999</v>
      </c>
      <c r="D57" s="4">
        <f>18.5213 * CHOOSE(CONTROL!$C$9, $C$13, 100%, $E$13) + CHOOSE(CONTROL!$C$28, 0, 0)</f>
        <v>18.5213</v>
      </c>
      <c r="E57" s="4">
        <f>77.1007312541673 * CHOOSE(CONTROL!$C$9, $C$13, 100%, $E$13) + CHOOSE(CONTROL!$C$28, 0, 0)</f>
        <v>77.1007312541673</v>
      </c>
    </row>
    <row r="58" spans="1:5" ht="15">
      <c r="A58" s="13">
        <v>43252</v>
      </c>
      <c r="B58" s="4">
        <f>12.4224 * CHOOSE(CONTROL!$C$9, $C$13, 100%, $E$13) + CHOOSE(CONTROL!$C$28, 0.013, 0)</f>
        <v>12.4354</v>
      </c>
      <c r="C58" s="4">
        <f>12.0591 * CHOOSE(CONTROL!$C$9, $C$13, 100%, $E$13) + CHOOSE(CONTROL!$C$28, 0.013, 0)</f>
        <v>12.072100000000001</v>
      </c>
      <c r="D58" s="4">
        <f>18.6752 * CHOOSE(CONTROL!$C$9, $C$13, 100%, $E$13) + CHOOSE(CONTROL!$C$28, 0, 0)</f>
        <v>18.6752</v>
      </c>
      <c r="E58" s="4">
        <f>77.3446884723663 * CHOOSE(CONTROL!$C$9, $C$13, 100%, $E$13) + CHOOSE(CONTROL!$C$28, 0, 0)</f>
        <v>77.3446884723663</v>
      </c>
    </row>
    <row r="59" spans="1:5" ht="15">
      <c r="A59" s="13">
        <v>43282</v>
      </c>
      <c r="B59" s="4">
        <f>12.4187 * CHOOSE(CONTROL!$C$9, $C$13, 100%, $E$13) + CHOOSE(CONTROL!$C$28, 0.013, 0)</f>
        <v>12.431699999999999</v>
      </c>
      <c r="C59" s="4">
        <f>12.0554 * CHOOSE(CONTROL!$C$9, $C$13, 100%, $E$13) + CHOOSE(CONTROL!$C$28, 0.013, 0)</f>
        <v>12.0684</v>
      </c>
      <c r="D59" s="4">
        <f>18.9528 * CHOOSE(CONTROL!$C$9, $C$13, 100%, $E$13) + CHOOSE(CONTROL!$C$28, 0, 0)</f>
        <v>18.9528</v>
      </c>
      <c r="E59" s="4">
        <f>77.3200877444807 * CHOOSE(CONTROL!$C$9, $C$13, 100%, $E$13) + CHOOSE(CONTROL!$C$28, 0, 0)</f>
        <v>77.320087744480702</v>
      </c>
    </row>
    <row r="60" spans="1:5" ht="15">
      <c r="A60" s="13">
        <v>43313</v>
      </c>
      <c r="B60" s="4">
        <f>12.6975 * CHOOSE(CONTROL!$C$9, $C$13, 100%, $E$13) + CHOOSE(CONTROL!$C$28, 0.013, 0)</f>
        <v>12.7105</v>
      </c>
      <c r="C60" s="4">
        <f>12.3342 * CHOOSE(CONTROL!$C$9, $C$13, 100%, $E$13) + CHOOSE(CONTROL!$C$28, 0.013, 0)</f>
        <v>12.347199999999999</v>
      </c>
      <c r="D60" s="4">
        <f>18.7694 * CHOOSE(CONTROL!$C$9, $C$13, 100%, $E$13) + CHOOSE(CONTROL!$C$28, 0, 0)</f>
        <v>18.769400000000001</v>
      </c>
      <c r="E60" s="4">
        <f>79.171292517873 * CHOOSE(CONTROL!$C$9, $C$13, 100%, $E$13) + CHOOSE(CONTROL!$C$28, 0, 0)</f>
        <v>79.171292517872999</v>
      </c>
    </row>
    <row r="61" spans="1:5" ht="15">
      <c r="A61" s="13">
        <v>43344</v>
      </c>
      <c r="B61" s="4">
        <f>12.2223 * CHOOSE(CONTROL!$C$9, $C$13, 100%, $E$13) + CHOOSE(CONTROL!$C$28, 0.013, 0)</f>
        <v>12.235300000000001</v>
      </c>
      <c r="C61" s="4">
        <f>11.859 * CHOOSE(CONTROL!$C$9, $C$13, 100%, $E$13) + CHOOSE(CONTROL!$C$28, 0.013, 0)</f>
        <v>11.872</v>
      </c>
      <c r="D61" s="4">
        <f>18.6828 * CHOOSE(CONTROL!$C$9, $C$13, 100%, $E$13) + CHOOSE(CONTROL!$C$28, 0, 0)</f>
        <v>18.6828</v>
      </c>
      <c r="E61" s="4">
        <f>76.0162491665432 * CHOOSE(CONTROL!$C$9, $C$13, 100%, $E$13) + CHOOSE(CONTROL!$C$28, 0, 0)</f>
        <v>76.016249166543204</v>
      </c>
    </row>
    <row r="62" spans="1:5" ht="15">
      <c r="A62" s="13">
        <v>43374</v>
      </c>
      <c r="B62" s="4">
        <f>11.8419 * CHOOSE(CONTROL!$C$9, $C$13, 100%, $E$13) + CHOOSE(CONTROL!$C$28, 0.0003, 0)</f>
        <v>11.8422</v>
      </c>
      <c r="C62" s="4">
        <f>11.4786 * CHOOSE(CONTROL!$C$9, $C$13, 100%, $E$13) + CHOOSE(CONTROL!$C$28, 0.0003, 0)</f>
        <v>11.478899999999999</v>
      </c>
      <c r="D62" s="4">
        <f>18.4509 * CHOOSE(CONTROL!$C$9, $C$13, 100%, $E$13) + CHOOSE(CONTROL!$C$28, 0, 0)</f>
        <v>18.450900000000001</v>
      </c>
      <c r="E62" s="4">
        <f>73.4905744369536 * CHOOSE(CONTROL!$C$9, $C$13, 100%, $E$13) + CHOOSE(CONTROL!$C$28, 0, 0)</f>
        <v>73.490574436953594</v>
      </c>
    </row>
    <row r="63" spans="1:5" ht="15">
      <c r="A63" s="13">
        <v>43405</v>
      </c>
      <c r="B63" s="4">
        <f>11.5969 * CHOOSE(CONTROL!$C$9, $C$13, 100%, $E$13) + CHOOSE(CONTROL!$C$28, 0.0003, 0)</f>
        <v>11.597199999999999</v>
      </c>
      <c r="C63" s="4">
        <f>11.2336 * CHOOSE(CONTROL!$C$9, $C$13, 100%, $E$13) + CHOOSE(CONTROL!$C$28, 0.0003, 0)</f>
        <v>11.233899999999998</v>
      </c>
      <c r="D63" s="4">
        <f>18.3712 * CHOOSE(CONTROL!$C$9, $C$13, 100%, $E$13) + CHOOSE(CONTROL!$C$28, 0, 0)</f>
        <v>18.371200000000002</v>
      </c>
      <c r="E63" s="4">
        <f>71.8638513055175 * CHOOSE(CONTROL!$C$9, $C$13, 100%, $E$13) + CHOOSE(CONTROL!$C$28, 0, 0)</f>
        <v>71.8638513055175</v>
      </c>
    </row>
    <row r="64" spans="1:5" ht="15">
      <c r="A64" s="13">
        <v>43435</v>
      </c>
      <c r="B64" s="4">
        <f>11.4274 * CHOOSE(CONTROL!$C$9, $C$13, 100%, $E$13) + CHOOSE(CONTROL!$C$28, 0.0003, 0)</f>
        <v>11.4277</v>
      </c>
      <c r="C64" s="4">
        <f>11.0641 * CHOOSE(CONTROL!$C$9, $C$13, 100%, $E$13) + CHOOSE(CONTROL!$C$28, 0.0003, 0)</f>
        <v>11.064399999999999</v>
      </c>
      <c r="D64" s="4">
        <f>17.7842 * CHOOSE(CONTROL!$C$9, $C$13, 100%, $E$13) + CHOOSE(CONTROL!$C$28, 0, 0)</f>
        <v>17.784199999999998</v>
      </c>
      <c r="E64" s="4">
        <f>70.7383680047507 * CHOOSE(CONTROL!$C$9, $C$13, 100%, $E$13) + CHOOSE(CONTROL!$C$28, 0, 0)</f>
        <v>70.738368004750697</v>
      </c>
    </row>
    <row r="65" spans="1:5" ht="15">
      <c r="A65" s="13">
        <v>43466</v>
      </c>
      <c r="B65" s="4">
        <f>11.125 * CHOOSE(CONTROL!$C$9, $C$13, 100%, $E$13) + CHOOSE(CONTROL!$C$28, 0.0003, 0)</f>
        <v>11.125299999999999</v>
      </c>
      <c r="C65" s="4">
        <f>10.7617 * CHOOSE(CONTROL!$C$9, $C$13, 100%, $E$13) + CHOOSE(CONTROL!$C$28, 0.0003, 0)</f>
        <v>10.761999999999999</v>
      </c>
      <c r="D65" s="4">
        <f>17.4347 * CHOOSE(CONTROL!$C$9, $C$13, 100%, $E$13) + CHOOSE(CONTROL!$C$28, 0, 0)</f>
        <v>17.434699999999999</v>
      </c>
      <c r="E65" s="4">
        <f>69.0067691613416 * CHOOSE(CONTROL!$C$9, $C$13, 100%, $E$13) + CHOOSE(CONTROL!$C$28, 0, 0)</f>
        <v>69.006769161341595</v>
      </c>
    </row>
    <row r="66" spans="1:5" ht="15">
      <c r="A66" s="13">
        <v>43497</v>
      </c>
      <c r="B66" s="4">
        <f>11.3707 * CHOOSE(CONTROL!$C$9, $C$13, 100%, $E$13) + CHOOSE(CONTROL!$C$28, 0.0003, 0)</f>
        <v>11.370999999999999</v>
      </c>
      <c r="C66" s="4">
        <f>11.0075 * CHOOSE(CONTROL!$C$9, $C$13, 100%, $E$13) + CHOOSE(CONTROL!$C$28, 0.0003, 0)</f>
        <v>11.0078</v>
      </c>
      <c r="D66" s="4">
        <f>17.9847 * CHOOSE(CONTROL!$C$9, $C$13, 100%, $E$13) + CHOOSE(CONTROL!$C$28, 0, 0)</f>
        <v>17.9847</v>
      </c>
      <c r="E66" s="4">
        <f>70.64526181066 * CHOOSE(CONTROL!$C$9, $C$13, 100%, $E$13) + CHOOSE(CONTROL!$C$28, 0, 0)</f>
        <v>70.645261810660003</v>
      </c>
    </row>
    <row r="67" spans="1:5" ht="15">
      <c r="A67" s="13">
        <v>43525</v>
      </c>
      <c r="B67" s="4">
        <f>12.0162 * CHOOSE(CONTROL!$C$9, $C$13, 100%, $E$13) + CHOOSE(CONTROL!$C$28, 0.0003, 0)</f>
        <v>12.016499999999999</v>
      </c>
      <c r="C67" s="4">
        <f>11.6529 * CHOOSE(CONTROL!$C$9, $C$13, 100%, $E$13) + CHOOSE(CONTROL!$C$28, 0.0003, 0)</f>
        <v>11.6532</v>
      </c>
      <c r="D67" s="4">
        <f>18.8457 * CHOOSE(CONTROL!$C$9, $C$13, 100%, $E$13) + CHOOSE(CONTROL!$C$28, 0, 0)</f>
        <v>18.845700000000001</v>
      </c>
      <c r="E67" s="4">
        <f>74.9480305825574 * CHOOSE(CONTROL!$C$9, $C$13, 100%, $E$13) + CHOOSE(CONTROL!$C$28, 0, 0)</f>
        <v>74.948030582557394</v>
      </c>
    </row>
    <row r="68" spans="1:5" ht="15">
      <c r="A68" s="13">
        <v>43556</v>
      </c>
      <c r="B68" s="4">
        <f>12.4748 * CHOOSE(CONTROL!$C$9, $C$13, 100%, $E$13) + CHOOSE(CONTROL!$C$28, 0.0003, 0)</f>
        <v>12.475099999999999</v>
      </c>
      <c r="C68" s="4">
        <f>12.1115 * CHOOSE(CONTROL!$C$9, $C$13, 100%, $E$13) + CHOOSE(CONTROL!$C$28, 0.0003, 0)</f>
        <v>12.111799999999999</v>
      </c>
      <c r="D68" s="4">
        <f>19.3416 * CHOOSE(CONTROL!$C$9, $C$13, 100%, $E$13) + CHOOSE(CONTROL!$C$28, 0, 0)</f>
        <v>19.3416</v>
      </c>
      <c r="E68" s="4">
        <f>78.0052051369239 * CHOOSE(CONTROL!$C$9, $C$13, 100%, $E$13) + CHOOSE(CONTROL!$C$28, 0, 0)</f>
        <v>78.005205136923905</v>
      </c>
    </row>
    <row r="69" spans="1:5" ht="15">
      <c r="A69" s="13">
        <v>43586</v>
      </c>
      <c r="B69" s="4">
        <f>12.755 * CHOOSE(CONTROL!$C$9, $C$13, 100%, $E$13) + CHOOSE(CONTROL!$C$28, 0.013, 0)</f>
        <v>12.768000000000001</v>
      </c>
      <c r="C69" s="4">
        <f>12.3917 * CHOOSE(CONTROL!$C$9, $C$13, 100%, $E$13) + CHOOSE(CONTROL!$C$28, 0.013, 0)</f>
        <v>12.4047</v>
      </c>
      <c r="D69" s="4">
        <f>19.1456 * CHOOSE(CONTROL!$C$9, $C$13, 100%, $E$13) + CHOOSE(CONTROL!$C$28, 0, 0)</f>
        <v>19.145600000000002</v>
      </c>
      <c r="E69" s="4">
        <f>79.8730655193936 * CHOOSE(CONTROL!$C$9, $C$13, 100%, $E$13) + CHOOSE(CONTROL!$C$28, 0, 0)</f>
        <v>79.873065519393606</v>
      </c>
    </row>
    <row r="70" spans="1:5" ht="15">
      <c r="A70" s="13">
        <v>43617</v>
      </c>
      <c r="B70" s="4">
        <f>12.7929 * CHOOSE(CONTROL!$C$9, $C$13, 100%, $E$13) + CHOOSE(CONTROL!$C$28, 0.013, 0)</f>
        <v>12.805899999999999</v>
      </c>
      <c r="C70" s="4">
        <f>12.4296 * CHOOSE(CONTROL!$C$9, $C$13, 100%, $E$13) + CHOOSE(CONTROL!$C$28, 0.013, 0)</f>
        <v>12.442600000000001</v>
      </c>
      <c r="D70" s="4">
        <f>19.3052 * CHOOSE(CONTROL!$C$9, $C$13, 100%, $E$13) + CHOOSE(CONTROL!$C$28, 0, 0)</f>
        <v>19.305199999999999</v>
      </c>
      <c r="E70" s="4">
        <f>80.1257947809217 * CHOOSE(CONTROL!$C$9, $C$13, 100%, $E$13) + CHOOSE(CONTROL!$C$28, 0, 0)</f>
        <v>80.125794780921694</v>
      </c>
    </row>
    <row r="71" spans="1:5" ht="15">
      <c r="A71" s="13">
        <v>43647</v>
      </c>
      <c r="B71" s="4">
        <f>12.7891 * CHOOSE(CONTROL!$C$9, $C$13, 100%, $E$13) + CHOOSE(CONTROL!$C$28, 0.013, 0)</f>
        <v>12.802099999999999</v>
      </c>
      <c r="C71" s="4">
        <f>12.4258 * CHOOSE(CONTROL!$C$9, $C$13, 100%, $E$13) + CHOOSE(CONTROL!$C$28, 0.013, 0)</f>
        <v>12.438800000000001</v>
      </c>
      <c r="D71" s="4">
        <f>19.5932 * CHOOSE(CONTROL!$C$9, $C$13, 100%, $E$13) + CHOOSE(CONTROL!$C$28, 0, 0)</f>
        <v>19.5932</v>
      </c>
      <c r="E71" s="4">
        <f>80.1003094772382 * CHOOSE(CONTROL!$C$9, $C$13, 100%, $E$13) + CHOOSE(CONTROL!$C$28, 0, 0)</f>
        <v>80.100309477238198</v>
      </c>
    </row>
    <row r="72" spans="1:5" ht="15">
      <c r="A72" s="13">
        <v>43678</v>
      </c>
      <c r="B72" s="4">
        <f>13.0768 * CHOOSE(CONTROL!$C$9, $C$13, 100%, $E$13) + CHOOSE(CONTROL!$C$28, 0.013, 0)</f>
        <v>13.0898</v>
      </c>
      <c r="C72" s="4">
        <f>12.7135 * CHOOSE(CONTROL!$C$9, $C$13, 100%, $E$13) + CHOOSE(CONTROL!$C$28, 0.013, 0)</f>
        <v>12.7265</v>
      </c>
      <c r="D72" s="4">
        <f>19.403 * CHOOSE(CONTROL!$C$9, $C$13, 100%, $E$13) + CHOOSE(CONTROL!$C$28, 0, 0)</f>
        <v>19.402999999999999</v>
      </c>
      <c r="E72" s="4">
        <f>82.0180785794215 * CHOOSE(CONTROL!$C$9, $C$13, 100%, $E$13) + CHOOSE(CONTROL!$C$28, 0, 0)</f>
        <v>82.018078579421498</v>
      </c>
    </row>
    <row r="73" spans="1:5" ht="15">
      <c r="A73" s="13">
        <v>43709</v>
      </c>
      <c r="B73" s="4">
        <f>12.5865 * CHOOSE(CONTROL!$C$9, $C$13, 100%, $E$13) + CHOOSE(CONTROL!$C$28, 0.013, 0)</f>
        <v>12.599499999999999</v>
      </c>
      <c r="C73" s="4">
        <f>12.2232 * CHOOSE(CONTROL!$C$9, $C$13, 100%, $E$13) + CHOOSE(CONTROL!$C$28, 0.013, 0)</f>
        <v>12.2362</v>
      </c>
      <c r="D73" s="4">
        <f>19.3132 * CHOOSE(CONTROL!$C$9, $C$13, 100%, $E$13) + CHOOSE(CONTROL!$C$28, 0, 0)</f>
        <v>19.313199999999998</v>
      </c>
      <c r="E73" s="4">
        <f>78.7495883820127 * CHOOSE(CONTROL!$C$9, $C$13, 100%, $E$13) + CHOOSE(CONTROL!$C$28, 0, 0)</f>
        <v>78.749588382012703</v>
      </c>
    </row>
    <row r="74" spans="1:5" ht="15">
      <c r="A74" s="13">
        <v>43739</v>
      </c>
      <c r="B74" s="4">
        <f>12.194 * CHOOSE(CONTROL!$C$9, $C$13, 100%, $E$13) + CHOOSE(CONTROL!$C$28, 0.0003, 0)</f>
        <v>12.1943</v>
      </c>
      <c r="C74" s="4">
        <f>11.8307 * CHOOSE(CONTROL!$C$9, $C$13, 100%, $E$13) + CHOOSE(CONTROL!$C$28, 0.0003, 0)</f>
        <v>11.831</v>
      </c>
      <c r="D74" s="4">
        <f>19.0726 * CHOOSE(CONTROL!$C$9, $C$13, 100%, $E$13) + CHOOSE(CONTROL!$C$28, 0, 0)</f>
        <v>19.072600000000001</v>
      </c>
      <c r="E74" s="4">
        <f>76.1330972038401 * CHOOSE(CONTROL!$C$9, $C$13, 100%, $E$13) + CHOOSE(CONTROL!$C$28, 0, 0)</f>
        <v>76.133097203840094</v>
      </c>
    </row>
    <row r="75" spans="1:5" ht="15">
      <c r="A75" s="13">
        <v>43770</v>
      </c>
      <c r="B75" s="4">
        <f>11.9412 * CHOOSE(CONTROL!$C$9, $C$13, 100%, $E$13) + CHOOSE(CONTROL!$C$28, 0.0003, 0)</f>
        <v>11.9415</v>
      </c>
      <c r="C75" s="4">
        <f>11.5779 * CHOOSE(CONTROL!$C$9, $C$13, 100%, $E$13) + CHOOSE(CONTROL!$C$28, 0.0003, 0)</f>
        <v>11.578199999999999</v>
      </c>
      <c r="D75" s="4">
        <f>18.9899 * CHOOSE(CONTROL!$C$9, $C$13, 100%, $E$13) + CHOOSE(CONTROL!$C$28, 0, 0)</f>
        <v>18.989899999999999</v>
      </c>
      <c r="E75" s="4">
        <f>74.4478814977687 * CHOOSE(CONTROL!$C$9, $C$13, 100%, $E$13) + CHOOSE(CONTROL!$C$28, 0, 0)</f>
        <v>74.447881497768705</v>
      </c>
    </row>
    <row r="76" spans="1:5" ht="15">
      <c r="A76" s="13">
        <v>43800</v>
      </c>
      <c r="B76" s="4">
        <f>11.7663 * CHOOSE(CONTROL!$C$9, $C$13, 100%, $E$13) + CHOOSE(CONTROL!$C$28, 0.0003, 0)</f>
        <v>11.766599999999999</v>
      </c>
      <c r="C76" s="4">
        <f>11.403 * CHOOSE(CONTROL!$C$9, $C$13, 100%, $E$13) + CHOOSE(CONTROL!$C$28, 0.0003, 0)</f>
        <v>11.4033</v>
      </c>
      <c r="D76" s="4">
        <f>18.3809 * CHOOSE(CONTROL!$C$9, $C$13, 100%, $E$13) + CHOOSE(CONTROL!$C$28, 0, 0)</f>
        <v>18.3809</v>
      </c>
      <c r="E76" s="4">
        <f>73.2819288542487 * CHOOSE(CONTROL!$C$9, $C$13, 100%, $E$13) + CHOOSE(CONTROL!$C$28, 0, 0)</f>
        <v>73.281928854248704</v>
      </c>
    </row>
    <row r="77" spans="1:5" ht="15">
      <c r="A77" s="13">
        <v>43831</v>
      </c>
      <c r="B77" s="4">
        <f>12.8082 * CHOOSE(CONTROL!$C$9, $C$13, 100%, $E$13) + CHOOSE(CONTROL!$C$28, 0.0003, 0)</f>
        <v>12.808499999999999</v>
      </c>
      <c r="C77" s="4">
        <f>12.4449 * CHOOSE(CONTROL!$C$9, $C$13, 100%, $E$13) + CHOOSE(CONTROL!$C$28, 0.0003, 0)</f>
        <v>12.4452</v>
      </c>
      <c r="D77" s="4">
        <f>19.2397 * CHOOSE(CONTROL!$C$9, $C$13, 100%, $E$13) + CHOOSE(CONTROL!$C$28, 0, 0)</f>
        <v>19.239699999999999</v>
      </c>
      <c r="E77" s="4">
        <f>82.0078688574678 * CHOOSE(CONTROL!$C$9, $C$13, 100%, $E$13) + CHOOSE(CONTROL!$C$28, 0, 0)</f>
        <v>82.007868857467798</v>
      </c>
    </row>
    <row r="78" spans="1:5" ht="15">
      <c r="A78" s="13">
        <v>43862</v>
      </c>
      <c r="B78" s="4">
        <f>13.0939 * CHOOSE(CONTROL!$C$9, $C$13, 100%, $E$13) + CHOOSE(CONTROL!$C$28, 0.0003, 0)</f>
        <v>13.094199999999999</v>
      </c>
      <c r="C78" s="4">
        <f>12.7307 * CHOOSE(CONTROL!$C$9, $C$13, 100%, $E$13) + CHOOSE(CONTROL!$C$28, 0.0003, 0)</f>
        <v>12.731</v>
      </c>
      <c r="D78" s="4">
        <f>19.8534 * CHOOSE(CONTROL!$C$9, $C$13, 100%, $E$13) + CHOOSE(CONTROL!$C$28, 0, 0)</f>
        <v>19.853400000000001</v>
      </c>
      <c r="E78" s="4">
        <f>83.9550588497287 * CHOOSE(CONTROL!$C$9, $C$13, 100%, $E$13) + CHOOSE(CONTROL!$C$28, 0, 0)</f>
        <v>83.955058849728701</v>
      </c>
    </row>
    <row r="79" spans="1:5" ht="15">
      <c r="A79" s="13">
        <v>43891</v>
      </c>
      <c r="B79" s="4">
        <f>13.8443 * CHOOSE(CONTROL!$C$9, $C$13, 100%, $E$13) + CHOOSE(CONTROL!$C$28, 0.0003, 0)</f>
        <v>13.8446</v>
      </c>
      <c r="C79" s="4">
        <f>13.4811 * CHOOSE(CONTROL!$C$9, $C$13, 100%, $E$13) + CHOOSE(CONTROL!$C$28, 0.0003, 0)</f>
        <v>13.481399999999999</v>
      </c>
      <c r="D79" s="4">
        <f>20.814 * CHOOSE(CONTROL!$C$9, $C$13, 100%, $E$13) + CHOOSE(CONTROL!$C$28, 0, 0)</f>
        <v>20.814</v>
      </c>
      <c r="E79" s="4">
        <f>89.0684832493664 * CHOOSE(CONTROL!$C$9, $C$13, 100%, $E$13) + CHOOSE(CONTROL!$C$28, 0, 0)</f>
        <v>89.068483249366395</v>
      </c>
    </row>
    <row r="80" spans="1:5" ht="15">
      <c r="A80" s="13">
        <v>43922</v>
      </c>
      <c r="B80" s="4">
        <f>14.3775 * CHOOSE(CONTROL!$C$9, $C$13, 100%, $E$13) + CHOOSE(CONTROL!$C$28, 0.0003, 0)</f>
        <v>14.377799999999999</v>
      </c>
      <c r="C80" s="4">
        <f>14.0142 * CHOOSE(CONTROL!$C$9, $C$13, 100%, $E$13) + CHOOSE(CONTROL!$C$28, 0.0003, 0)</f>
        <v>14.0145</v>
      </c>
      <c r="D80" s="4">
        <f>21.3674 * CHOOSE(CONTROL!$C$9, $C$13, 100%, $E$13) + CHOOSE(CONTROL!$C$28, 0, 0)</f>
        <v>21.3674</v>
      </c>
      <c r="E80" s="4">
        <f>92.7016394306491 * CHOOSE(CONTROL!$C$9, $C$13, 100%, $E$13) + CHOOSE(CONTROL!$C$28, 0, 0)</f>
        <v>92.701639430649095</v>
      </c>
    </row>
    <row r="81" spans="1:5" ht="15">
      <c r="A81" s="13">
        <v>43952</v>
      </c>
      <c r="B81" s="4">
        <f>14.7033 * CHOOSE(CONTROL!$C$9, $C$13, 100%, $E$13) + CHOOSE(CONTROL!$C$28, 0.013, 0)</f>
        <v>14.7163</v>
      </c>
      <c r="C81" s="4">
        <f>14.34 * CHOOSE(CONTROL!$C$9, $C$13, 100%, $E$13) + CHOOSE(CONTROL!$C$28, 0.013, 0)</f>
        <v>14.353</v>
      </c>
      <c r="D81" s="4">
        <f>21.1487 * CHOOSE(CONTROL!$C$9, $C$13, 100%, $E$13) + CHOOSE(CONTROL!$C$28, 0, 0)</f>
        <v>21.148700000000002</v>
      </c>
      <c r="E81" s="4">
        <f>94.9214107828116 * CHOOSE(CONTROL!$C$9, $C$13, 100%, $E$13) + CHOOSE(CONTROL!$C$28, 0, 0)</f>
        <v>94.921410782811606</v>
      </c>
    </row>
    <row r="82" spans="1:5" ht="15">
      <c r="A82" s="13">
        <v>43983</v>
      </c>
      <c r="B82" s="4">
        <f>14.7473 * CHOOSE(CONTROL!$C$9, $C$13, 100%, $E$13) + CHOOSE(CONTROL!$C$28, 0.013, 0)</f>
        <v>14.760299999999999</v>
      </c>
      <c r="C82" s="4">
        <f>14.3841 * CHOOSE(CONTROL!$C$9, $C$13, 100%, $E$13) + CHOOSE(CONTROL!$C$28, 0.013, 0)</f>
        <v>14.3971</v>
      </c>
      <c r="D82" s="4">
        <f>21.3268 * CHOOSE(CONTROL!$C$9, $C$13, 100%, $E$13) + CHOOSE(CONTROL!$C$28, 0, 0)</f>
        <v>21.326799999999999</v>
      </c>
      <c r="E82" s="4">
        <f>95.2217550589996 * CHOOSE(CONTROL!$C$9, $C$13, 100%, $E$13) + CHOOSE(CONTROL!$C$28, 0, 0)</f>
        <v>95.221755058999605</v>
      </c>
    </row>
    <row r="83" spans="1:5" ht="15">
      <c r="A83" s="13">
        <v>44013</v>
      </c>
      <c r="B83" s="4">
        <f>14.7429 * CHOOSE(CONTROL!$C$9, $C$13, 100%, $E$13) + CHOOSE(CONTROL!$C$28, 0.013, 0)</f>
        <v>14.7559</v>
      </c>
      <c r="C83" s="4">
        <f>14.3796 * CHOOSE(CONTROL!$C$9, $C$13, 100%, $E$13) + CHOOSE(CONTROL!$C$28, 0.013, 0)</f>
        <v>14.3926</v>
      </c>
      <c r="D83" s="4">
        <f>21.6482 * CHOOSE(CONTROL!$C$9, $C$13, 100%, $E$13) + CHOOSE(CONTROL!$C$28, 0, 0)</f>
        <v>21.648199999999999</v>
      </c>
      <c r="E83" s="4">
        <f>95.1914682412328 * CHOOSE(CONTROL!$C$9, $C$13, 100%, $E$13) + CHOOSE(CONTROL!$C$28, 0, 0)</f>
        <v>95.191468241232798</v>
      </c>
    </row>
    <row r="84" spans="1:5" ht="15">
      <c r="A84" s="13">
        <v>44044</v>
      </c>
      <c r="B84" s="4">
        <f>15.0774 * CHOOSE(CONTROL!$C$9, $C$13, 100%, $E$13) + CHOOSE(CONTROL!$C$28, 0.013, 0)</f>
        <v>15.090400000000001</v>
      </c>
      <c r="C84" s="4">
        <f>14.7141 * CHOOSE(CONTROL!$C$9, $C$13, 100%, $E$13) + CHOOSE(CONTROL!$C$28, 0.013, 0)</f>
        <v>14.7271</v>
      </c>
      <c r="D84" s="4">
        <f>21.436 * CHOOSE(CONTROL!$C$9, $C$13, 100%, $E$13) + CHOOSE(CONTROL!$C$28, 0, 0)</f>
        <v>21.436</v>
      </c>
      <c r="E84" s="4">
        <f>97.4705512781888 * CHOOSE(CONTROL!$C$9, $C$13, 100%, $E$13) + CHOOSE(CONTROL!$C$28, 0, 0)</f>
        <v>97.470551278188793</v>
      </c>
    </row>
    <row r="85" spans="1:5" ht="15">
      <c r="A85" s="13">
        <v>44075</v>
      </c>
      <c r="B85" s="4">
        <f>14.5073 * CHOOSE(CONTROL!$C$9, $C$13, 100%, $E$13) + CHOOSE(CONTROL!$C$28, 0.013, 0)</f>
        <v>14.520300000000001</v>
      </c>
      <c r="C85" s="4">
        <f>14.144 * CHOOSE(CONTROL!$C$9, $C$13, 100%, $E$13) + CHOOSE(CONTROL!$C$28, 0.013, 0)</f>
        <v>14.157</v>
      </c>
      <c r="D85" s="4">
        <f>21.3357 * CHOOSE(CONTROL!$C$9, $C$13, 100%, $E$13) + CHOOSE(CONTROL!$C$28, 0, 0)</f>
        <v>21.335699999999999</v>
      </c>
      <c r="E85" s="4">
        <f>93.5862668995893 * CHOOSE(CONTROL!$C$9, $C$13, 100%, $E$13) + CHOOSE(CONTROL!$C$28, 0, 0)</f>
        <v>93.586266899589305</v>
      </c>
    </row>
    <row r="86" spans="1:5" ht="15">
      <c r="A86" s="13">
        <v>44105</v>
      </c>
      <c r="B86" s="4">
        <f>14.051 * CHOOSE(CONTROL!$C$9, $C$13, 100%, $E$13) + CHOOSE(CONTROL!$C$28, 0.0003, 0)</f>
        <v>14.051299999999999</v>
      </c>
      <c r="C86" s="4">
        <f>13.6877 * CHOOSE(CONTROL!$C$9, $C$13, 100%, $E$13) + CHOOSE(CONTROL!$C$28, 0.0003, 0)</f>
        <v>13.687999999999999</v>
      </c>
      <c r="D86" s="4">
        <f>21.0672 * CHOOSE(CONTROL!$C$9, $C$13, 100%, $E$13) + CHOOSE(CONTROL!$C$28, 0, 0)</f>
        <v>21.0672</v>
      </c>
      <c r="E86" s="4">
        <f>90.4768202755253 * CHOOSE(CONTROL!$C$9, $C$13, 100%, $E$13) + CHOOSE(CONTROL!$C$28, 0, 0)</f>
        <v>90.476820275525299</v>
      </c>
    </row>
    <row r="87" spans="1:5" ht="15">
      <c r="A87" s="13">
        <v>44136</v>
      </c>
      <c r="B87" s="4">
        <f>13.7571 * CHOOSE(CONTROL!$C$9, $C$13, 100%, $E$13) + CHOOSE(CONTROL!$C$28, 0.0003, 0)</f>
        <v>13.757399999999999</v>
      </c>
      <c r="C87" s="4">
        <f>13.3938 * CHOOSE(CONTROL!$C$9, $C$13, 100%, $E$13) + CHOOSE(CONTROL!$C$28, 0.0003, 0)</f>
        <v>13.3941</v>
      </c>
      <c r="D87" s="4">
        <f>20.9749 * CHOOSE(CONTROL!$C$9, $C$13, 100%, $E$13) + CHOOSE(CONTROL!$C$28, 0, 0)</f>
        <v>20.974900000000002</v>
      </c>
      <c r="E87" s="4">
        <f>88.4741044506919 * CHOOSE(CONTROL!$C$9, $C$13, 100%, $E$13) + CHOOSE(CONTROL!$C$28, 0, 0)</f>
        <v>88.474104450691897</v>
      </c>
    </row>
    <row r="88" spans="1:5" ht="15">
      <c r="A88" s="13">
        <v>44166</v>
      </c>
      <c r="B88" s="4">
        <f>13.5538 * CHOOSE(CONTROL!$C$9, $C$13, 100%, $E$13) + CHOOSE(CONTROL!$C$28, 0.0003, 0)</f>
        <v>13.5541</v>
      </c>
      <c r="C88" s="4">
        <f>13.1905 * CHOOSE(CONTROL!$C$9, $C$13, 100%, $E$13) + CHOOSE(CONTROL!$C$28, 0.0003, 0)</f>
        <v>13.190799999999999</v>
      </c>
      <c r="D88" s="4">
        <f>20.2954 * CHOOSE(CONTROL!$C$9, $C$13, 100%, $E$13) + CHOOSE(CONTROL!$C$28, 0, 0)</f>
        <v>20.295400000000001</v>
      </c>
      <c r="E88" s="4">
        <f>87.0884825378581 * CHOOSE(CONTROL!$C$9, $C$13, 100%, $E$13) + CHOOSE(CONTROL!$C$28, 0, 0)</f>
        <v>87.088482537858098</v>
      </c>
    </row>
    <row r="89" spans="1:5" ht="15">
      <c r="A89" s="13">
        <v>44197</v>
      </c>
      <c r="B89" s="4">
        <f>13.3859 * CHOOSE(CONTROL!$C$9, $C$13, 100%, $E$13) + CHOOSE(CONTROL!$C$28, 0.0003, 0)</f>
        <v>13.386199999999999</v>
      </c>
      <c r="C89" s="4">
        <f>13.0226 * CHOOSE(CONTROL!$C$9, $C$13, 100%, $E$13) + CHOOSE(CONTROL!$C$28, 0.0003, 0)</f>
        <v>13.0229</v>
      </c>
      <c r="D89" s="4">
        <f>20.0158 * CHOOSE(CONTROL!$C$9, $C$13, 100%, $E$13) + CHOOSE(CONTROL!$C$28, 0, 0)</f>
        <v>20.015799999999999</v>
      </c>
      <c r="E89" s="4">
        <f>85.4125030956757 * CHOOSE(CONTROL!$C$9, $C$13, 100%, $E$13) + CHOOSE(CONTROL!$C$28, 0, 0)</f>
        <v>85.412503095675703</v>
      </c>
    </row>
    <row r="90" spans="1:5" ht="15">
      <c r="A90" s="13">
        <v>44228</v>
      </c>
      <c r="B90" s="4">
        <f>13.6854 * CHOOSE(CONTROL!$C$9, $C$13, 100%, $E$13) + CHOOSE(CONTROL!$C$28, 0.0003, 0)</f>
        <v>13.685699999999999</v>
      </c>
      <c r="C90" s="4">
        <f>13.3221 * CHOOSE(CONTROL!$C$9, $C$13, 100%, $E$13) + CHOOSE(CONTROL!$C$28, 0.0003, 0)</f>
        <v>13.3224</v>
      </c>
      <c r="D90" s="4">
        <f>20.6569 * CHOOSE(CONTROL!$C$9, $C$13, 100%, $E$13) + CHOOSE(CONTROL!$C$28, 0, 0)</f>
        <v>20.6569</v>
      </c>
      <c r="E90" s="4">
        <f>87.4405325221069 * CHOOSE(CONTROL!$C$9, $C$13, 100%, $E$13) + CHOOSE(CONTROL!$C$28, 0, 0)</f>
        <v>87.440532522106906</v>
      </c>
    </row>
    <row r="91" spans="1:5" ht="15">
      <c r="A91" s="13">
        <v>44256</v>
      </c>
      <c r="B91" s="4">
        <f>14.4718 * CHOOSE(CONTROL!$C$9, $C$13, 100%, $E$13) + CHOOSE(CONTROL!$C$28, 0.0003, 0)</f>
        <v>14.472099999999999</v>
      </c>
      <c r="C91" s="4">
        <f>14.1085 * CHOOSE(CONTROL!$C$9, $C$13, 100%, $E$13) + CHOOSE(CONTROL!$C$28, 0.0003, 0)</f>
        <v>14.108799999999999</v>
      </c>
      <c r="D91" s="4">
        <f>21.6605 * CHOOSE(CONTROL!$C$9, $C$13, 100%, $E$13) + CHOOSE(CONTROL!$C$28, 0, 0)</f>
        <v>21.660499999999999</v>
      </c>
      <c r="E91" s="4">
        <f>92.7662455719442 * CHOOSE(CONTROL!$C$9, $C$13, 100%, $E$13) + CHOOSE(CONTROL!$C$28, 0, 0)</f>
        <v>92.766245571944197</v>
      </c>
    </row>
    <row r="92" spans="1:5" ht="15">
      <c r="A92" s="13">
        <v>44287</v>
      </c>
      <c r="B92" s="4">
        <f>15.0305 * CHOOSE(CONTROL!$C$9, $C$13, 100%, $E$13) + CHOOSE(CONTROL!$C$28, 0.0003, 0)</f>
        <v>15.030799999999999</v>
      </c>
      <c r="C92" s="4">
        <f>14.6673 * CHOOSE(CONTROL!$C$9, $C$13, 100%, $E$13) + CHOOSE(CONTROL!$C$28, 0.0003, 0)</f>
        <v>14.667599999999998</v>
      </c>
      <c r="D92" s="4">
        <f>22.2385 * CHOOSE(CONTROL!$C$9, $C$13, 100%, $E$13) + CHOOSE(CONTROL!$C$28, 0, 0)</f>
        <v>22.238499999999998</v>
      </c>
      <c r="E92" s="4">
        <f>96.5502356683118 * CHOOSE(CONTROL!$C$9, $C$13, 100%, $E$13) + CHOOSE(CONTROL!$C$28, 0, 0)</f>
        <v>96.550235668311799</v>
      </c>
    </row>
    <row r="93" spans="1:5" ht="15">
      <c r="A93" s="13">
        <v>44317</v>
      </c>
      <c r="B93" s="4">
        <f>15.3719 * CHOOSE(CONTROL!$C$9, $C$13, 100%, $E$13) + CHOOSE(CONTROL!$C$28, 0.013, 0)</f>
        <v>15.3849</v>
      </c>
      <c r="C93" s="4">
        <f>15.0087 * CHOOSE(CONTROL!$C$9, $C$13, 100%, $E$13) + CHOOSE(CONTROL!$C$28, 0.013, 0)</f>
        <v>15.021699999999999</v>
      </c>
      <c r="D93" s="4">
        <f>22.0101 * CHOOSE(CONTROL!$C$9, $C$13, 100%, $E$13) + CHOOSE(CONTROL!$C$28, 0, 0)</f>
        <v>22.010100000000001</v>
      </c>
      <c r="E93" s="4">
        <f>98.8621629276069 * CHOOSE(CONTROL!$C$9, $C$13, 100%, $E$13) + CHOOSE(CONTROL!$C$28, 0, 0)</f>
        <v>98.862162927606903</v>
      </c>
    </row>
    <row r="94" spans="1:5" ht="15">
      <c r="A94" s="13">
        <v>44348</v>
      </c>
      <c r="B94" s="4">
        <f>15.4181 * CHOOSE(CONTROL!$C$9, $C$13, 100%, $E$13) + CHOOSE(CONTROL!$C$28, 0.013, 0)</f>
        <v>15.431100000000001</v>
      </c>
      <c r="C94" s="4">
        <f>15.0549 * CHOOSE(CONTROL!$C$9, $C$13, 100%, $E$13) + CHOOSE(CONTROL!$C$28, 0.013, 0)</f>
        <v>15.0679</v>
      </c>
      <c r="D94" s="4">
        <f>22.1961 * CHOOSE(CONTROL!$C$9, $C$13, 100%, $E$13) + CHOOSE(CONTROL!$C$28, 0, 0)</f>
        <v>22.196100000000001</v>
      </c>
      <c r="E94" s="4">
        <f>99.1749762804848 * CHOOSE(CONTROL!$C$9, $C$13, 100%, $E$13) + CHOOSE(CONTROL!$C$28, 0, 0)</f>
        <v>99.174976280484799</v>
      </c>
    </row>
    <row r="95" spans="1:5" ht="15">
      <c r="A95" s="13">
        <v>44378</v>
      </c>
      <c r="B95" s="4">
        <f>15.4135 * CHOOSE(CONTROL!$C$9, $C$13, 100%, $E$13) + CHOOSE(CONTROL!$C$28, 0.013, 0)</f>
        <v>15.426500000000001</v>
      </c>
      <c r="C95" s="4">
        <f>15.0502 * CHOOSE(CONTROL!$C$9, $C$13, 100%, $E$13) + CHOOSE(CONTROL!$C$28, 0.013, 0)</f>
        <v>15.0632</v>
      </c>
      <c r="D95" s="4">
        <f>22.5318 * CHOOSE(CONTROL!$C$9, $C$13, 100%, $E$13) + CHOOSE(CONTROL!$C$28, 0, 0)</f>
        <v>22.5318</v>
      </c>
      <c r="E95" s="4">
        <f>99.1434320768333 * CHOOSE(CONTROL!$C$9, $C$13, 100%, $E$13) + CHOOSE(CONTROL!$C$28, 0, 0)</f>
        <v>99.143432076833307</v>
      </c>
    </row>
    <row r="96" spans="1:5" ht="15">
      <c r="A96" s="13">
        <v>44409</v>
      </c>
      <c r="B96" s="4">
        <f>15.764 * CHOOSE(CONTROL!$C$9, $C$13, 100%, $E$13) + CHOOSE(CONTROL!$C$28, 0.013, 0)</f>
        <v>15.776999999999999</v>
      </c>
      <c r="C96" s="4">
        <f>15.4007 * CHOOSE(CONTROL!$C$9, $C$13, 100%, $E$13) + CHOOSE(CONTROL!$C$28, 0.013, 0)</f>
        <v>15.4137</v>
      </c>
      <c r="D96" s="4">
        <f>22.3101 * CHOOSE(CONTROL!$C$9, $C$13, 100%, $E$13) + CHOOSE(CONTROL!$C$28, 0, 0)</f>
        <v>22.310099999999998</v>
      </c>
      <c r="E96" s="4">
        <f>101.517133401613 * CHOOSE(CONTROL!$C$9, $C$13, 100%, $E$13) + CHOOSE(CONTROL!$C$28, 0, 0)</f>
        <v>101.51713340161299</v>
      </c>
    </row>
    <row r="97" spans="1:5" ht="15">
      <c r="A97" s="13">
        <v>44440</v>
      </c>
      <c r="B97" s="4">
        <f>15.1666 * CHOOSE(CONTROL!$C$9, $C$13, 100%, $E$13) + CHOOSE(CONTROL!$C$28, 0.013, 0)</f>
        <v>15.179600000000001</v>
      </c>
      <c r="C97" s="4">
        <f>14.8033 * CHOOSE(CONTROL!$C$9, $C$13, 100%, $E$13) + CHOOSE(CONTROL!$C$28, 0.013, 0)</f>
        <v>14.8163</v>
      </c>
      <c r="D97" s="4">
        <f>22.2054 * CHOOSE(CONTROL!$C$9, $C$13, 100%, $E$13) + CHOOSE(CONTROL!$C$28, 0, 0)</f>
        <v>22.205400000000001</v>
      </c>
      <c r="E97" s="4">
        <f>97.471589283301 * CHOOSE(CONTROL!$C$9, $C$13, 100%, $E$13) + CHOOSE(CONTROL!$C$28, 0, 0)</f>
        <v>97.471589283301</v>
      </c>
    </row>
    <row r="98" spans="1:5" ht="15">
      <c r="A98" s="13">
        <v>44470</v>
      </c>
      <c r="B98" s="4">
        <f>14.6884 * CHOOSE(CONTROL!$C$9, $C$13, 100%, $E$13) + CHOOSE(CONTROL!$C$28, 0.0003, 0)</f>
        <v>14.688699999999999</v>
      </c>
      <c r="C98" s="4">
        <f>14.3251 * CHOOSE(CONTROL!$C$9, $C$13, 100%, $E$13) + CHOOSE(CONTROL!$C$28, 0.0003, 0)</f>
        <v>14.3254</v>
      </c>
      <c r="D98" s="4">
        <f>21.9249 * CHOOSE(CONTROL!$C$9, $C$13, 100%, $E$13) + CHOOSE(CONTROL!$C$28, 0, 0)</f>
        <v>21.924900000000001</v>
      </c>
      <c r="E98" s="4">
        <f>94.2330510417414 * CHOOSE(CONTROL!$C$9, $C$13, 100%, $E$13) + CHOOSE(CONTROL!$C$28, 0, 0)</f>
        <v>94.233051041741405</v>
      </c>
    </row>
    <row r="99" spans="1:5" ht="15">
      <c r="A99" s="13">
        <v>44501</v>
      </c>
      <c r="B99" s="4">
        <f>14.3804 * CHOOSE(CONTROL!$C$9, $C$13, 100%, $E$13) + CHOOSE(CONTROL!$C$28, 0.0003, 0)</f>
        <v>14.380699999999999</v>
      </c>
      <c r="C99" s="4">
        <f>14.0171 * CHOOSE(CONTROL!$C$9, $C$13, 100%, $E$13) + CHOOSE(CONTROL!$C$28, 0.0003, 0)</f>
        <v>14.017399999999999</v>
      </c>
      <c r="D99" s="4">
        <f>21.8285 * CHOOSE(CONTROL!$C$9, $C$13, 100%, $E$13) + CHOOSE(CONTROL!$C$28, 0, 0)</f>
        <v>21.828499999999998</v>
      </c>
      <c r="E99" s="4">
        <f>92.1471905752824 * CHOOSE(CONTROL!$C$9, $C$13, 100%, $E$13) + CHOOSE(CONTROL!$C$28, 0, 0)</f>
        <v>92.147190575282394</v>
      </c>
    </row>
    <row r="100" spans="1:5" ht="15">
      <c r="A100" s="13">
        <v>44531</v>
      </c>
      <c r="B100" s="4">
        <f>14.1673 * CHOOSE(CONTROL!$C$9, $C$13, 100%, $E$13) + CHOOSE(CONTROL!$C$28, 0.0003, 0)</f>
        <v>14.167599999999998</v>
      </c>
      <c r="C100" s="4">
        <f>13.804 * CHOOSE(CONTROL!$C$9, $C$13, 100%, $E$13) + CHOOSE(CONTROL!$C$28, 0.0003, 0)</f>
        <v>13.8043</v>
      </c>
      <c r="D100" s="4">
        <f>21.1187 * CHOOSE(CONTROL!$C$9, $C$13, 100%, $E$13) + CHOOSE(CONTROL!$C$28, 0, 0)</f>
        <v>21.1187</v>
      </c>
      <c r="E100" s="4">
        <f>90.7040432582239 * CHOOSE(CONTROL!$C$9, $C$13, 100%, $E$13) + CHOOSE(CONTROL!$C$28, 0, 0)</f>
        <v>90.704043258223905</v>
      </c>
    </row>
    <row r="101" spans="1:5" ht="15">
      <c r="A101" s="13">
        <v>44562</v>
      </c>
      <c r="B101" s="4">
        <f>14.0661 * CHOOSE(CONTROL!$C$9, $C$13, 100%, $E$13) + CHOOSE(CONTROL!$C$28, 0.0003, 0)</f>
        <v>14.0664</v>
      </c>
      <c r="C101" s="4">
        <f>13.7028 * CHOOSE(CONTROL!$C$9, $C$13, 100%, $E$13) + CHOOSE(CONTROL!$C$28, 0.0003, 0)</f>
        <v>13.703099999999999</v>
      </c>
      <c r="D101" s="4">
        <f>20.9947 * CHOOSE(CONTROL!$C$9, $C$13, 100%, $E$13) + CHOOSE(CONTROL!$C$28, 0, 0)</f>
        <v>20.994700000000002</v>
      </c>
      <c r="E101" s="4">
        <f>89.7194686098829 * CHOOSE(CONTROL!$C$9, $C$13, 100%, $E$13) + CHOOSE(CONTROL!$C$28, 0, 0)</f>
        <v>89.719468609882895</v>
      </c>
    </row>
    <row r="102" spans="1:5" ht="15">
      <c r="A102" s="13">
        <v>44593</v>
      </c>
      <c r="B102" s="4">
        <f>14.3817 * CHOOSE(CONTROL!$C$9, $C$13, 100%, $E$13) + CHOOSE(CONTROL!$C$28, 0.0003, 0)</f>
        <v>14.382</v>
      </c>
      <c r="C102" s="4">
        <f>14.0184 * CHOOSE(CONTROL!$C$9, $C$13, 100%, $E$13) + CHOOSE(CONTROL!$C$28, 0.0003, 0)</f>
        <v>14.018699999999999</v>
      </c>
      <c r="D102" s="4">
        <f>21.6704 * CHOOSE(CONTROL!$C$9, $C$13, 100%, $E$13) + CHOOSE(CONTROL!$C$28, 0, 0)</f>
        <v>21.670400000000001</v>
      </c>
      <c r="E102" s="4">
        <f>91.8497623709824 * CHOOSE(CONTROL!$C$9, $C$13, 100%, $E$13) + CHOOSE(CONTROL!$C$28, 0, 0)</f>
        <v>91.849762370982404</v>
      </c>
    </row>
    <row r="103" spans="1:5" ht="15">
      <c r="A103" s="13">
        <v>44621</v>
      </c>
      <c r="B103" s="4">
        <f>15.2105 * CHOOSE(CONTROL!$C$9, $C$13, 100%, $E$13) + CHOOSE(CONTROL!$C$28, 0.0003, 0)</f>
        <v>15.210799999999999</v>
      </c>
      <c r="C103" s="4">
        <f>14.8473 * CHOOSE(CONTROL!$C$9, $C$13, 100%, $E$13) + CHOOSE(CONTROL!$C$28, 0.0003, 0)</f>
        <v>14.8476</v>
      </c>
      <c r="D103" s="4">
        <f>22.728 * CHOOSE(CONTROL!$C$9, $C$13, 100%, $E$13) + CHOOSE(CONTROL!$C$28, 0, 0)</f>
        <v>22.728000000000002</v>
      </c>
      <c r="E103" s="4">
        <f>97.4440269983156 * CHOOSE(CONTROL!$C$9, $C$13, 100%, $E$13) + CHOOSE(CONTROL!$C$28, 0, 0)</f>
        <v>97.444026998315593</v>
      </c>
    </row>
    <row r="104" spans="1:5" ht="15">
      <c r="A104" s="13">
        <v>44652</v>
      </c>
      <c r="B104" s="4">
        <f>15.7994 * CHOOSE(CONTROL!$C$9, $C$13, 100%, $E$13) + CHOOSE(CONTROL!$C$28, 0.0003, 0)</f>
        <v>15.7997</v>
      </c>
      <c r="C104" s="4">
        <f>15.4362 * CHOOSE(CONTROL!$C$9, $C$13, 100%, $E$13) + CHOOSE(CONTROL!$C$28, 0.0003, 0)</f>
        <v>15.436499999999999</v>
      </c>
      <c r="D104" s="4">
        <f>23.3372 * CHOOSE(CONTROL!$C$9, $C$13, 100%, $E$13) + CHOOSE(CONTROL!$C$28, 0, 0)</f>
        <v>23.337199999999999</v>
      </c>
      <c r="E104" s="4">
        <f>101.418826569414 * CHOOSE(CONTROL!$C$9, $C$13, 100%, $E$13) + CHOOSE(CONTROL!$C$28, 0, 0)</f>
        <v>101.41882656941399</v>
      </c>
    </row>
    <row r="105" spans="1:5" ht="15">
      <c r="A105" s="13">
        <v>44682</v>
      </c>
      <c r="B105" s="4">
        <f>16.1593 * CHOOSE(CONTROL!$C$9, $C$13, 100%, $E$13) + CHOOSE(CONTROL!$C$28, 0.013, 0)</f>
        <v>16.172300000000003</v>
      </c>
      <c r="C105" s="4">
        <f>15.796 * CHOOSE(CONTROL!$C$9, $C$13, 100%, $E$13) + CHOOSE(CONTROL!$C$28, 0.013, 0)</f>
        <v>15.808999999999999</v>
      </c>
      <c r="D105" s="4">
        <f>23.0965 * CHOOSE(CONTROL!$C$9, $C$13, 100%, $E$13) + CHOOSE(CONTROL!$C$28, 0, 0)</f>
        <v>23.096499999999999</v>
      </c>
      <c r="E105" s="4">
        <f>103.847333844705 * CHOOSE(CONTROL!$C$9, $C$13, 100%, $E$13) + CHOOSE(CONTROL!$C$28, 0, 0)</f>
        <v>103.84733384470501</v>
      </c>
    </row>
    <row r="106" spans="1:5" ht="15">
      <c r="A106" s="13">
        <v>44713</v>
      </c>
      <c r="B106" s="4">
        <f>16.2079 * CHOOSE(CONTROL!$C$9, $C$13, 100%, $E$13) + CHOOSE(CONTROL!$C$28, 0.013, 0)</f>
        <v>16.2209</v>
      </c>
      <c r="C106" s="4">
        <f>15.8447 * CHOOSE(CONTROL!$C$9, $C$13, 100%, $E$13) + CHOOSE(CONTROL!$C$28, 0.013, 0)</f>
        <v>15.857699999999999</v>
      </c>
      <c r="D106" s="4">
        <f>23.2926 * CHOOSE(CONTROL!$C$9, $C$13, 100%, $E$13) + CHOOSE(CONTROL!$C$28, 0, 0)</f>
        <v>23.2926</v>
      </c>
      <c r="E106" s="4">
        <f>104.175920957564 * CHOOSE(CONTROL!$C$9, $C$13, 100%, $E$13) + CHOOSE(CONTROL!$C$28, 0, 0)</f>
        <v>104.175920957564</v>
      </c>
    </row>
    <row r="107" spans="1:5" ht="15">
      <c r="A107" s="13">
        <v>44743</v>
      </c>
      <c r="B107" s="4">
        <f>16.203 * CHOOSE(CONTROL!$C$9, $C$13, 100%, $E$13) + CHOOSE(CONTROL!$C$28, 0.013, 0)</f>
        <v>16.216000000000001</v>
      </c>
      <c r="C107" s="4">
        <f>15.8397 * CHOOSE(CONTROL!$C$9, $C$13, 100%, $E$13) + CHOOSE(CONTROL!$C$28, 0.013, 0)</f>
        <v>15.8527</v>
      </c>
      <c r="D107" s="4">
        <f>23.6463 * CHOOSE(CONTROL!$C$9, $C$13, 100%, $E$13) + CHOOSE(CONTROL!$C$28, 0, 0)</f>
        <v>23.6463</v>
      </c>
      <c r="E107" s="4">
        <f>104.142786122654 * CHOOSE(CONTROL!$C$9, $C$13, 100%, $E$13) + CHOOSE(CONTROL!$C$28, 0, 0)</f>
        <v>104.142786122654</v>
      </c>
    </row>
    <row r="108" spans="1:5" ht="15">
      <c r="A108" s="13">
        <v>44774</v>
      </c>
      <c r="B108" s="4">
        <f>16.5724 * CHOOSE(CONTROL!$C$9, $C$13, 100%, $E$13) + CHOOSE(CONTROL!$C$28, 0.013, 0)</f>
        <v>16.5854</v>
      </c>
      <c r="C108" s="4">
        <f>16.2092 * CHOOSE(CONTROL!$C$9, $C$13, 100%, $E$13) + CHOOSE(CONTROL!$C$28, 0.013, 0)</f>
        <v>16.222200000000001</v>
      </c>
      <c r="D108" s="4">
        <f>23.4127 * CHOOSE(CONTROL!$C$9, $C$13, 100%, $E$13) + CHOOSE(CONTROL!$C$28, 0, 0)</f>
        <v>23.412700000000001</v>
      </c>
      <c r="E108" s="4">
        <f>106.636182449644 * CHOOSE(CONTROL!$C$9, $C$13, 100%, $E$13) + CHOOSE(CONTROL!$C$28, 0, 0)</f>
        <v>106.636182449644</v>
      </c>
    </row>
    <row r="109" spans="1:5" ht="15">
      <c r="A109" s="13">
        <v>44805</v>
      </c>
      <c r="B109" s="4">
        <f>15.9428 * CHOOSE(CONTROL!$C$9, $C$13, 100%, $E$13) + CHOOSE(CONTROL!$C$28, 0.013, 0)</f>
        <v>15.9558</v>
      </c>
      <c r="C109" s="4">
        <f>15.5796 * CHOOSE(CONTROL!$C$9, $C$13, 100%, $E$13) + CHOOSE(CONTROL!$C$28, 0.013, 0)</f>
        <v>15.592599999999999</v>
      </c>
      <c r="D109" s="4">
        <f>23.3023 * CHOOSE(CONTROL!$C$9, $C$13, 100%, $E$13) + CHOOSE(CONTROL!$C$28, 0, 0)</f>
        <v>23.302299999999999</v>
      </c>
      <c r="E109" s="4">
        <f>102.386639872415 * CHOOSE(CONTROL!$C$9, $C$13, 100%, $E$13) + CHOOSE(CONTROL!$C$28, 0, 0)</f>
        <v>102.386639872415</v>
      </c>
    </row>
    <row r="110" spans="1:5" ht="15">
      <c r="A110" s="13">
        <v>44835</v>
      </c>
      <c r="B110" s="4">
        <f>15.4388 * CHOOSE(CONTROL!$C$9, $C$13, 100%, $E$13) + CHOOSE(CONTROL!$C$28, 0.0003, 0)</f>
        <v>15.4391</v>
      </c>
      <c r="C110" s="4">
        <f>15.0755 * CHOOSE(CONTROL!$C$9, $C$13, 100%, $E$13) + CHOOSE(CONTROL!$C$28, 0.0003, 0)</f>
        <v>15.075799999999999</v>
      </c>
      <c r="D110" s="4">
        <f>23.0067 * CHOOSE(CONTROL!$C$9, $C$13, 100%, $E$13) + CHOOSE(CONTROL!$C$28, 0, 0)</f>
        <v>23.006699999999999</v>
      </c>
      <c r="E110" s="4">
        <f>98.9847968216383 * CHOOSE(CONTROL!$C$9, $C$13, 100%, $E$13) + CHOOSE(CONTROL!$C$28, 0, 0)</f>
        <v>98.984796821638298</v>
      </c>
    </row>
    <row r="111" spans="1:5" ht="15">
      <c r="A111" s="13">
        <v>44866</v>
      </c>
      <c r="B111" s="4">
        <f>15.1142 * CHOOSE(CONTROL!$C$9, $C$13, 100%, $E$13) + CHOOSE(CONTROL!$C$28, 0.0003, 0)</f>
        <v>15.1145</v>
      </c>
      <c r="C111" s="4">
        <f>14.7509 * CHOOSE(CONTROL!$C$9, $C$13, 100%, $E$13) + CHOOSE(CONTROL!$C$28, 0.0003, 0)</f>
        <v>14.751199999999999</v>
      </c>
      <c r="D111" s="4">
        <f>22.9051 * CHOOSE(CONTROL!$C$9, $C$13, 100%, $E$13) + CHOOSE(CONTROL!$C$28, 0, 0)</f>
        <v>22.905100000000001</v>
      </c>
      <c r="E111" s="4">
        <f>96.7937558632035 * CHOOSE(CONTROL!$C$9, $C$13, 100%, $E$13) + CHOOSE(CONTROL!$C$28, 0, 0)</f>
        <v>96.793755863203501</v>
      </c>
    </row>
    <row r="112" spans="1:5" ht="15">
      <c r="A112" s="13">
        <v>44896</v>
      </c>
      <c r="B112" s="4">
        <f>14.8896 * CHOOSE(CONTROL!$C$9, $C$13, 100%, $E$13) + CHOOSE(CONTROL!$C$28, 0.0003, 0)</f>
        <v>14.889899999999999</v>
      </c>
      <c r="C112" s="4">
        <f>14.5263 * CHOOSE(CONTROL!$C$9, $C$13, 100%, $E$13) + CHOOSE(CONTROL!$C$28, 0.0003, 0)</f>
        <v>14.5266</v>
      </c>
      <c r="D112" s="4">
        <f>22.157 * CHOOSE(CONTROL!$C$9, $C$13, 100%, $E$13) + CHOOSE(CONTROL!$C$28, 0, 0)</f>
        <v>22.157</v>
      </c>
      <c r="E112" s="4">
        <f>95.2778371660634 * CHOOSE(CONTROL!$C$9, $C$13, 100%, $E$13) + CHOOSE(CONTROL!$C$28, 0, 0)</f>
        <v>95.277837166063406</v>
      </c>
    </row>
    <row r="113" spans="1:5" ht="15">
      <c r="A113" s="13">
        <v>44927</v>
      </c>
      <c r="B113" s="4">
        <f>14.7924 * CHOOSE(CONTROL!$C$9, $C$13, 100%, $E$13) + CHOOSE(CONTROL!$C$28, 0.0003, 0)</f>
        <v>14.7927</v>
      </c>
      <c r="C113" s="4">
        <f>14.4291 * CHOOSE(CONTROL!$C$9, $C$13, 100%, $E$13) + CHOOSE(CONTROL!$C$28, 0.0003, 0)</f>
        <v>14.429399999999999</v>
      </c>
      <c r="D113" s="4">
        <f>21.9492 * CHOOSE(CONTROL!$C$9, $C$13, 100%, $E$13) + CHOOSE(CONTROL!$C$28, 0, 0)</f>
        <v>21.949200000000001</v>
      </c>
      <c r="E113" s="4">
        <f>94.0260553347621 * CHOOSE(CONTROL!$C$9, $C$13, 100%, $E$13) + CHOOSE(CONTROL!$C$28, 0, 0)</f>
        <v>94.026055334762106</v>
      </c>
    </row>
    <row r="114" spans="1:5" ht="15">
      <c r="A114" s="13">
        <v>44958</v>
      </c>
      <c r="B114" s="4">
        <f>15.1252 * CHOOSE(CONTROL!$C$9, $C$13, 100%, $E$13) + CHOOSE(CONTROL!$C$28, 0.0003, 0)</f>
        <v>15.125499999999999</v>
      </c>
      <c r="C114" s="4">
        <f>14.762 * CHOOSE(CONTROL!$C$9, $C$13, 100%, $E$13) + CHOOSE(CONTROL!$C$28, 0.0003, 0)</f>
        <v>14.7623</v>
      </c>
      <c r="D114" s="4">
        <f>22.6585 * CHOOSE(CONTROL!$C$9, $C$13, 100%, $E$13) + CHOOSE(CONTROL!$C$28, 0, 0)</f>
        <v>22.6585</v>
      </c>
      <c r="E114" s="4">
        <f>96.2586044365785 * CHOOSE(CONTROL!$C$9, $C$13, 100%, $E$13) + CHOOSE(CONTROL!$C$28, 0, 0)</f>
        <v>96.258604436578494</v>
      </c>
    </row>
    <row r="115" spans="1:5" ht="15">
      <c r="A115" s="13">
        <v>44986</v>
      </c>
      <c r="B115" s="4">
        <f>15.9994 * CHOOSE(CONTROL!$C$9, $C$13, 100%, $E$13) + CHOOSE(CONTROL!$C$28, 0.0003, 0)</f>
        <v>15.999699999999999</v>
      </c>
      <c r="C115" s="4">
        <f>15.6361 * CHOOSE(CONTROL!$C$9, $C$13, 100%, $E$13) + CHOOSE(CONTROL!$C$28, 0.0003, 0)</f>
        <v>15.6364</v>
      </c>
      <c r="D115" s="4">
        <f>23.7688 * CHOOSE(CONTROL!$C$9, $C$13, 100%, $E$13) + CHOOSE(CONTROL!$C$28, 0, 0)</f>
        <v>23.768799999999999</v>
      </c>
      <c r="E115" s="4">
        <f>102.121397022813 * CHOOSE(CONTROL!$C$9, $C$13, 100%, $E$13) + CHOOSE(CONTROL!$C$28, 0, 0)</f>
        <v>102.121397022813</v>
      </c>
    </row>
    <row r="116" spans="1:5" ht="15">
      <c r="A116" s="13">
        <v>45017</v>
      </c>
      <c r="B116" s="4">
        <f>16.6204 * CHOOSE(CONTROL!$C$9, $C$13, 100%, $E$13) + CHOOSE(CONTROL!$C$28, 0.0003, 0)</f>
        <v>16.620699999999999</v>
      </c>
      <c r="C116" s="4">
        <f>16.2571 * CHOOSE(CONTROL!$C$9, $C$13, 100%, $E$13) + CHOOSE(CONTROL!$C$28, 0.0003, 0)</f>
        <v>16.257400000000001</v>
      </c>
      <c r="D116" s="4">
        <f>24.4085 * CHOOSE(CONTROL!$C$9, $C$13, 100%, $E$13) + CHOOSE(CONTROL!$C$28, 0, 0)</f>
        <v>24.4085</v>
      </c>
      <c r="E116" s="4">
        <f>106.286989287317 * CHOOSE(CONTROL!$C$9, $C$13, 100%, $E$13) + CHOOSE(CONTROL!$C$28, 0, 0)</f>
        <v>106.286989287317</v>
      </c>
    </row>
    <row r="117" spans="1:5" ht="15">
      <c r="A117" s="13">
        <v>45047</v>
      </c>
      <c r="B117" s="4">
        <f>16.9999 * CHOOSE(CONTROL!$C$9, $C$13, 100%, $E$13) + CHOOSE(CONTROL!$C$28, 0.013, 0)</f>
        <v>17.012900000000002</v>
      </c>
      <c r="C117" s="4">
        <f>16.6366 * CHOOSE(CONTROL!$C$9, $C$13, 100%, $E$13) + CHOOSE(CONTROL!$C$28, 0.013, 0)</f>
        <v>16.649600000000003</v>
      </c>
      <c r="D117" s="4">
        <f>24.1557 * CHOOSE(CONTROL!$C$9, $C$13, 100%, $E$13) + CHOOSE(CONTROL!$C$28, 0, 0)</f>
        <v>24.1557</v>
      </c>
      <c r="E117" s="4">
        <f>108.832066325616 * CHOOSE(CONTROL!$C$9, $C$13, 100%, $E$13) + CHOOSE(CONTROL!$C$28, 0, 0)</f>
        <v>108.832066325616</v>
      </c>
    </row>
    <row r="118" spans="1:5" ht="15">
      <c r="A118" s="13">
        <v>45078</v>
      </c>
      <c r="B118" s="4">
        <f>17.0512 * CHOOSE(CONTROL!$C$9, $C$13, 100%, $E$13) + CHOOSE(CONTROL!$C$28, 0.013, 0)</f>
        <v>17.064200000000003</v>
      </c>
      <c r="C118" s="4">
        <f>16.688 * CHOOSE(CONTROL!$C$9, $C$13, 100%, $E$13) + CHOOSE(CONTROL!$C$28, 0.013, 0)</f>
        <v>16.701000000000001</v>
      </c>
      <c r="D118" s="4">
        <f>24.3616 * CHOOSE(CONTROL!$C$9, $C$13, 100%, $E$13) + CHOOSE(CONTROL!$C$28, 0, 0)</f>
        <v>24.361599999999999</v>
      </c>
      <c r="E118" s="4">
        <f>109.176425811184 * CHOOSE(CONTROL!$C$9, $C$13, 100%, $E$13) + CHOOSE(CONTROL!$C$28, 0, 0)</f>
        <v>109.176425811184</v>
      </c>
    </row>
    <row r="119" spans="1:5" ht="15">
      <c r="A119" s="13">
        <v>45108</v>
      </c>
      <c r="B119" s="4">
        <f>17.0461 * CHOOSE(CONTROL!$C$9, $C$13, 100%, $E$13) + CHOOSE(CONTROL!$C$28, 0.013, 0)</f>
        <v>17.059100000000001</v>
      </c>
      <c r="C119" s="4">
        <f>16.6828 * CHOOSE(CONTROL!$C$9, $C$13, 100%, $E$13) + CHOOSE(CONTROL!$C$28, 0.013, 0)</f>
        <v>16.695800000000002</v>
      </c>
      <c r="D119" s="4">
        <f>24.733 * CHOOSE(CONTROL!$C$9, $C$13, 100%, $E$13) + CHOOSE(CONTROL!$C$28, 0, 0)</f>
        <v>24.733000000000001</v>
      </c>
      <c r="E119" s="4">
        <f>109.141700484908 * CHOOSE(CONTROL!$C$9, $C$13, 100%, $E$13) + CHOOSE(CONTROL!$C$28, 0, 0)</f>
        <v>109.141700484908</v>
      </c>
    </row>
    <row r="120" spans="1:5" ht="15">
      <c r="A120" s="13">
        <v>45139</v>
      </c>
      <c r="B120" s="4">
        <f>17.4357 * CHOOSE(CONTROL!$C$9, $C$13, 100%, $E$13) + CHOOSE(CONTROL!$C$28, 0.013, 0)</f>
        <v>17.448700000000002</v>
      </c>
      <c r="C120" s="4">
        <f>17.0724 * CHOOSE(CONTROL!$C$9, $C$13, 100%, $E$13) + CHOOSE(CONTROL!$C$28, 0.013, 0)</f>
        <v>17.0854</v>
      </c>
      <c r="D120" s="4">
        <f>24.4877 * CHOOSE(CONTROL!$C$9, $C$13, 100%, $E$13) + CHOOSE(CONTROL!$C$28, 0, 0)</f>
        <v>24.4877</v>
      </c>
      <c r="E120" s="4">
        <f>111.754781287164 * CHOOSE(CONTROL!$C$9, $C$13, 100%, $E$13) + CHOOSE(CONTROL!$C$28, 0, 0)</f>
        <v>111.75478128716399</v>
      </c>
    </row>
    <row r="121" spans="1:5" ht="15">
      <c r="A121" s="13">
        <v>45170</v>
      </c>
      <c r="B121" s="4">
        <f>16.7717 * CHOOSE(CONTROL!$C$9, $C$13, 100%, $E$13) + CHOOSE(CONTROL!$C$28, 0.013, 0)</f>
        <v>16.784700000000001</v>
      </c>
      <c r="C121" s="4">
        <f>16.4084 * CHOOSE(CONTROL!$C$9, $C$13, 100%, $E$13) + CHOOSE(CONTROL!$C$28, 0.013, 0)</f>
        <v>16.421400000000002</v>
      </c>
      <c r="D121" s="4">
        <f>24.3718 * CHOOSE(CONTROL!$C$9, $C$13, 100%, $E$13) + CHOOSE(CONTROL!$C$28, 0, 0)</f>
        <v>24.3718</v>
      </c>
      <c r="E121" s="4">
        <f>107.30125819229 * CHOOSE(CONTROL!$C$9, $C$13, 100%, $E$13) + CHOOSE(CONTROL!$C$28, 0, 0)</f>
        <v>107.30125819229001</v>
      </c>
    </row>
    <row r="122" spans="1:5" ht="15">
      <c r="A122" s="13">
        <v>45200</v>
      </c>
      <c r="B122" s="4">
        <f>16.2401 * CHOOSE(CONTROL!$C$9, $C$13, 100%, $E$13) + CHOOSE(CONTROL!$C$28, 0.0003, 0)</f>
        <v>16.240400000000001</v>
      </c>
      <c r="C122" s="4">
        <f>15.8768 * CHOOSE(CONTROL!$C$9, $C$13, 100%, $E$13) + CHOOSE(CONTROL!$C$28, 0.0003, 0)</f>
        <v>15.877099999999999</v>
      </c>
      <c r="D122" s="4">
        <f>24.0615 * CHOOSE(CONTROL!$C$9, $C$13, 100%, $E$13) + CHOOSE(CONTROL!$C$28, 0, 0)</f>
        <v>24.061499999999999</v>
      </c>
      <c r="E122" s="4">
        <f>103.736124694639 * CHOOSE(CONTROL!$C$9, $C$13, 100%, $E$13) + CHOOSE(CONTROL!$C$28, 0, 0)</f>
        <v>103.736124694639</v>
      </c>
    </row>
    <row r="123" spans="1:5" ht="15">
      <c r="A123" s="13">
        <v>45231</v>
      </c>
      <c r="B123" s="4">
        <f>15.8977 * CHOOSE(CONTROL!$C$9, $C$13, 100%, $E$13) + CHOOSE(CONTROL!$C$28, 0.0003, 0)</f>
        <v>15.898</v>
      </c>
      <c r="C123" s="4">
        <f>15.5345 * CHOOSE(CONTROL!$C$9, $C$13, 100%, $E$13) + CHOOSE(CONTROL!$C$28, 0.0003, 0)</f>
        <v>15.534799999999999</v>
      </c>
      <c r="D123" s="4">
        <f>23.9548 * CHOOSE(CONTROL!$C$9, $C$13, 100%, $E$13) + CHOOSE(CONTROL!$C$28, 0, 0)</f>
        <v>23.954799999999999</v>
      </c>
      <c r="E123" s="4">
        <f>101.43991249465 * CHOOSE(CONTROL!$C$9, $C$13, 100%, $E$13) + CHOOSE(CONTROL!$C$28, 0, 0)</f>
        <v>101.43991249465</v>
      </c>
    </row>
    <row r="124" spans="1:5" ht="15">
      <c r="A124" s="13">
        <v>45261</v>
      </c>
      <c r="B124" s="4">
        <f>15.6609 * CHOOSE(CONTROL!$C$9, $C$13, 100%, $E$13) + CHOOSE(CONTROL!$C$28, 0.0003, 0)</f>
        <v>15.661199999999999</v>
      </c>
      <c r="C124" s="4">
        <f>15.2976 * CHOOSE(CONTROL!$C$9, $C$13, 100%, $E$13) + CHOOSE(CONTROL!$C$28, 0.0003, 0)</f>
        <v>15.297899999999998</v>
      </c>
      <c r="D124" s="4">
        <f>23.1694 * CHOOSE(CONTROL!$C$9, $C$13, 100%, $E$13) + CHOOSE(CONTROL!$C$28, 0, 0)</f>
        <v>23.1694</v>
      </c>
      <c r="E124" s="4">
        <f>99.8512288175313 * CHOOSE(CONTROL!$C$9, $C$13, 100%, $E$13) + CHOOSE(CONTROL!$C$28, 0, 0)</f>
        <v>99.851228817531293</v>
      </c>
    </row>
    <row r="125" spans="1:5" ht="15">
      <c r="A125" s="13">
        <v>45292</v>
      </c>
      <c r="B125" s="4">
        <f>15.545 * CHOOSE(CONTROL!$C$9, $C$13, 100%, $E$13) + CHOOSE(CONTROL!$C$28, 0.0003, 0)</f>
        <v>15.545299999999999</v>
      </c>
      <c r="C125" s="4">
        <f>15.1817 * CHOOSE(CONTROL!$C$9, $C$13, 100%, $E$13) + CHOOSE(CONTROL!$C$28, 0.0003, 0)</f>
        <v>15.181999999999999</v>
      </c>
      <c r="D125" s="4">
        <f>23.2042 * CHOOSE(CONTROL!$C$9, $C$13, 100%, $E$13) + CHOOSE(CONTROL!$C$28, 0, 0)</f>
        <v>23.2042</v>
      </c>
      <c r="E125" s="4">
        <f>98.3322701573919 * CHOOSE(CONTROL!$C$9, $C$13, 100%, $E$13) + CHOOSE(CONTROL!$C$28, 0, 0)</f>
        <v>98.332270157391903</v>
      </c>
    </row>
    <row r="126" spans="1:5" ht="15">
      <c r="A126" s="13">
        <v>45323</v>
      </c>
      <c r="B126" s="4">
        <f>15.8957 * CHOOSE(CONTROL!$C$9, $C$13, 100%, $E$13) + CHOOSE(CONTROL!$C$28, 0.0003, 0)</f>
        <v>15.895999999999999</v>
      </c>
      <c r="C126" s="4">
        <f>15.5324 * CHOOSE(CONTROL!$C$9, $C$13, 100%, $E$13) + CHOOSE(CONTROL!$C$28, 0.0003, 0)</f>
        <v>15.5327</v>
      </c>
      <c r="D126" s="4">
        <f>23.9579 * CHOOSE(CONTROL!$C$9, $C$13, 100%, $E$13) + CHOOSE(CONTROL!$C$28, 0, 0)</f>
        <v>23.957899999999999</v>
      </c>
      <c r="E126" s="4">
        <f>100.6670657695 * CHOOSE(CONTROL!$C$9, $C$13, 100%, $E$13) + CHOOSE(CONTROL!$C$28, 0, 0)</f>
        <v>100.6670657695</v>
      </c>
    </row>
    <row r="127" spans="1:5" ht="15">
      <c r="A127" s="13">
        <v>45352</v>
      </c>
      <c r="B127" s="4">
        <f>16.8168 * CHOOSE(CONTROL!$C$9, $C$13, 100%, $E$13) + CHOOSE(CONTROL!$C$28, 0.0003, 0)</f>
        <v>16.8171</v>
      </c>
      <c r="C127" s="4">
        <f>16.4535 * CHOOSE(CONTROL!$C$9, $C$13, 100%, $E$13) + CHOOSE(CONTROL!$C$28, 0.0003, 0)</f>
        <v>16.453799999999998</v>
      </c>
      <c r="D127" s="4">
        <f>25.1376 * CHOOSE(CONTROL!$C$9, $C$13, 100%, $E$13) + CHOOSE(CONTROL!$C$28, 0, 0)</f>
        <v>25.137599999999999</v>
      </c>
      <c r="E127" s="4">
        <f>106.798363125471 * CHOOSE(CONTROL!$C$9, $C$13, 100%, $E$13) + CHOOSE(CONTROL!$C$28, 0, 0)</f>
        <v>106.798363125471</v>
      </c>
    </row>
    <row r="128" spans="1:5" ht="15">
      <c r="A128" s="13">
        <v>45383</v>
      </c>
      <c r="B128" s="4">
        <f>17.4712 * CHOOSE(CONTROL!$C$9, $C$13, 100%, $E$13) + CHOOSE(CONTROL!$C$28, 0.0003, 0)</f>
        <v>17.471499999999999</v>
      </c>
      <c r="C128" s="4">
        <f>17.1079 * CHOOSE(CONTROL!$C$9, $C$13, 100%, $E$13) + CHOOSE(CONTROL!$C$28, 0.0003, 0)</f>
        <v>17.1082</v>
      </c>
      <c r="D128" s="4">
        <f>25.8171 * CHOOSE(CONTROL!$C$9, $C$13, 100%, $E$13) + CHOOSE(CONTROL!$C$28, 0, 0)</f>
        <v>25.8171</v>
      </c>
      <c r="E128" s="4">
        <f>111.154731607169 * CHOOSE(CONTROL!$C$9, $C$13, 100%, $E$13) + CHOOSE(CONTROL!$C$28, 0, 0)</f>
        <v>111.154731607169</v>
      </c>
    </row>
    <row r="129" spans="1:5" ht="15">
      <c r="A129" s="13">
        <v>45413</v>
      </c>
      <c r="B129" s="4">
        <f>17.871 * CHOOSE(CONTROL!$C$9, $C$13, 100%, $E$13) + CHOOSE(CONTROL!$C$28, 0.013, 0)</f>
        <v>17.884</v>
      </c>
      <c r="C129" s="4">
        <f>17.5077 * CHOOSE(CONTROL!$C$9, $C$13, 100%, $E$13) + CHOOSE(CONTROL!$C$28, 0.013, 0)</f>
        <v>17.520700000000001</v>
      </c>
      <c r="D129" s="4">
        <f>25.5486 * CHOOSE(CONTROL!$C$9, $C$13, 100%, $E$13) + CHOOSE(CONTROL!$C$28, 0, 0)</f>
        <v>25.5486</v>
      </c>
      <c r="E129" s="4">
        <f>113.816368341905 * CHOOSE(CONTROL!$C$9, $C$13, 100%, $E$13) + CHOOSE(CONTROL!$C$28, 0, 0)</f>
        <v>113.816368341905</v>
      </c>
    </row>
    <row r="130" spans="1:5" ht="15">
      <c r="A130" s="13">
        <v>45444</v>
      </c>
      <c r="B130" s="4">
        <f>17.9251 * CHOOSE(CONTROL!$C$9, $C$13, 100%, $E$13) + CHOOSE(CONTROL!$C$28, 0.013, 0)</f>
        <v>17.938100000000002</v>
      </c>
      <c r="C130" s="4">
        <f>17.5618 * CHOOSE(CONTROL!$C$9, $C$13, 100%, $E$13) + CHOOSE(CONTROL!$C$28, 0.013, 0)</f>
        <v>17.574800000000003</v>
      </c>
      <c r="D130" s="4">
        <f>25.7673 * CHOOSE(CONTROL!$C$9, $C$13, 100%, $E$13) + CHOOSE(CONTROL!$C$28, 0, 0)</f>
        <v>25.767299999999999</v>
      </c>
      <c r="E130" s="4">
        <f>114.176498838134 * CHOOSE(CONTROL!$C$9, $C$13, 100%, $E$13) + CHOOSE(CONTROL!$C$28, 0, 0)</f>
        <v>114.17649883813399</v>
      </c>
    </row>
    <row r="131" spans="1:5" ht="15">
      <c r="A131" s="13">
        <v>45474</v>
      </c>
      <c r="B131" s="4">
        <f>17.9197 * CHOOSE(CONTROL!$C$9, $C$13, 100%, $E$13) + CHOOSE(CONTROL!$C$28, 0.013, 0)</f>
        <v>17.932700000000001</v>
      </c>
      <c r="C131" s="4">
        <f>17.5564 * CHOOSE(CONTROL!$C$9, $C$13, 100%, $E$13) + CHOOSE(CONTROL!$C$28, 0.013, 0)</f>
        <v>17.569400000000002</v>
      </c>
      <c r="D131" s="4">
        <f>26.1619 * CHOOSE(CONTROL!$C$9, $C$13, 100%, $E$13) + CHOOSE(CONTROL!$C$28, 0, 0)</f>
        <v>26.161899999999999</v>
      </c>
      <c r="E131" s="4">
        <f>114.140183157842 * CHOOSE(CONTROL!$C$9, $C$13, 100%, $E$13) + CHOOSE(CONTROL!$C$28, 0, 0)</f>
        <v>114.140183157842</v>
      </c>
    </row>
    <row r="132" spans="1:5" ht="15">
      <c r="A132" s="13">
        <v>45505</v>
      </c>
      <c r="B132" s="4">
        <f>18.3302 * CHOOSE(CONTROL!$C$9, $C$13, 100%, $E$13) + CHOOSE(CONTROL!$C$28, 0.013, 0)</f>
        <v>18.343200000000003</v>
      </c>
      <c r="C132" s="4">
        <f>17.9669 * CHOOSE(CONTROL!$C$9, $C$13, 100%, $E$13) + CHOOSE(CONTROL!$C$28, 0.013, 0)</f>
        <v>17.979900000000001</v>
      </c>
      <c r="D132" s="4">
        <f>25.9013 * CHOOSE(CONTROL!$C$9, $C$13, 100%, $E$13) + CHOOSE(CONTROL!$C$28, 0, 0)</f>
        <v>25.901299999999999</v>
      </c>
      <c r="E132" s="4">
        <f>116.872938099817 * CHOOSE(CONTROL!$C$9, $C$13, 100%, $E$13) + CHOOSE(CONTROL!$C$28, 0, 0)</f>
        <v>116.87293809981701</v>
      </c>
    </row>
    <row r="133" spans="1:5" ht="15">
      <c r="A133" s="13">
        <v>45536</v>
      </c>
      <c r="B133" s="4">
        <f>17.6305 * CHOOSE(CONTROL!$C$9, $C$13, 100%, $E$13) + CHOOSE(CONTROL!$C$28, 0.013, 0)</f>
        <v>17.643500000000003</v>
      </c>
      <c r="C133" s="4">
        <f>17.2672 * CHOOSE(CONTROL!$C$9, $C$13, 100%, $E$13) + CHOOSE(CONTROL!$C$28, 0.013, 0)</f>
        <v>17.280200000000001</v>
      </c>
      <c r="D133" s="4">
        <f>25.7782 * CHOOSE(CONTROL!$C$9, $C$13, 100%, $E$13) + CHOOSE(CONTROL!$C$28, 0, 0)</f>
        <v>25.778199999999998</v>
      </c>
      <c r="E133" s="4">
        <f>112.215452102365 * CHOOSE(CONTROL!$C$9, $C$13, 100%, $E$13) + CHOOSE(CONTROL!$C$28, 0, 0)</f>
        <v>112.21545210236501</v>
      </c>
    </row>
    <row r="134" spans="1:5" ht="15">
      <c r="A134" s="13">
        <v>45566</v>
      </c>
      <c r="B134" s="4">
        <f>17.0704 * CHOOSE(CONTROL!$C$9, $C$13, 100%, $E$13) + CHOOSE(CONTROL!$C$28, 0.0003, 0)</f>
        <v>17.070699999999999</v>
      </c>
      <c r="C134" s="4">
        <f>16.7072 * CHOOSE(CONTROL!$C$9, $C$13, 100%, $E$13) + CHOOSE(CONTROL!$C$28, 0.0003, 0)</f>
        <v>16.7075</v>
      </c>
      <c r="D134" s="4">
        <f>25.4485 * CHOOSE(CONTROL!$C$9, $C$13, 100%, $E$13) + CHOOSE(CONTROL!$C$28, 0, 0)</f>
        <v>25.448499999999999</v>
      </c>
      <c r="E134" s="4">
        <f>108.48704225905 * CHOOSE(CONTROL!$C$9, $C$13, 100%, $E$13) + CHOOSE(CONTROL!$C$28, 0, 0)</f>
        <v>108.48704225905</v>
      </c>
    </row>
    <row r="135" spans="1:5" ht="15">
      <c r="A135" s="13">
        <v>45597</v>
      </c>
      <c r="B135" s="4">
        <f>16.7097 * CHOOSE(CONTROL!$C$9, $C$13, 100%, $E$13) + CHOOSE(CONTROL!$C$28, 0.0003, 0)</f>
        <v>16.71</v>
      </c>
      <c r="C135" s="4">
        <f>16.3464 * CHOOSE(CONTROL!$C$9, $C$13, 100%, $E$13) + CHOOSE(CONTROL!$C$28, 0.0003, 0)</f>
        <v>16.346699999999998</v>
      </c>
      <c r="D135" s="4">
        <f>25.3352 * CHOOSE(CONTROL!$C$9, $C$13, 100%, $E$13) + CHOOSE(CONTROL!$C$28, 0, 0)</f>
        <v>25.3352</v>
      </c>
      <c r="E135" s="4">
        <f>106.08566789974 * CHOOSE(CONTROL!$C$9, $C$13, 100%, $E$13) + CHOOSE(CONTROL!$C$28, 0, 0)</f>
        <v>106.08566789974</v>
      </c>
    </row>
    <row r="136" spans="1:5" ht="15">
      <c r="A136" s="13">
        <v>45627</v>
      </c>
      <c r="B136" s="4">
        <f>16.4601 * CHOOSE(CONTROL!$C$9, $C$13, 100%, $E$13) + CHOOSE(CONTROL!$C$28, 0.0003, 0)</f>
        <v>16.4604</v>
      </c>
      <c r="C136" s="4">
        <f>16.0968 * CHOOSE(CONTROL!$C$9, $C$13, 100%, $E$13) + CHOOSE(CONTROL!$C$28, 0.0003, 0)</f>
        <v>16.097100000000001</v>
      </c>
      <c r="D136" s="4">
        <f>24.5007 * CHOOSE(CONTROL!$C$9, $C$13, 100%, $E$13) + CHOOSE(CONTROL!$C$28, 0, 0)</f>
        <v>24.500699999999998</v>
      </c>
      <c r="E136" s="4">
        <f>104.42422552638 * CHOOSE(CONTROL!$C$9, $C$13, 100%, $E$13) + CHOOSE(CONTROL!$C$28, 0, 0)</f>
        <v>104.42422552638</v>
      </c>
    </row>
    <row r="137" spans="1:5" ht="15">
      <c r="A137" s="13">
        <v>45658</v>
      </c>
      <c r="B137" s="4">
        <f>16.7739 * CHOOSE(CONTROL!$C$9, $C$13, 100%, $E$13) + CHOOSE(CONTROL!$C$28, 0.0003, 0)</f>
        <v>16.7742</v>
      </c>
      <c r="C137" s="4">
        <f>16.4106 * CHOOSE(CONTROL!$C$9, $C$13, 100%, $E$13) + CHOOSE(CONTROL!$C$28, 0.0003, 0)</f>
        <v>16.410899999999998</v>
      </c>
      <c r="D137" s="4">
        <f>24.4274 * CHOOSE(CONTROL!$C$9, $C$13, 100%, $E$13) + CHOOSE(CONTROL!$C$28, 0, 0)</f>
        <v>24.427399999999999</v>
      </c>
      <c r="E137" s="4">
        <f>103.540809368942 * CHOOSE(CONTROL!$C$9, $C$13, 100%, $E$13) + CHOOSE(CONTROL!$C$28, 0, 0)</f>
        <v>103.54080936894201</v>
      </c>
    </row>
    <row r="138" spans="1:5" ht="15">
      <c r="A138" s="13">
        <v>45689</v>
      </c>
      <c r="B138" s="4">
        <f>17.1538 * CHOOSE(CONTROL!$C$9, $C$13, 100%, $E$13) + CHOOSE(CONTROL!$C$28, 0.0003, 0)</f>
        <v>17.1541</v>
      </c>
      <c r="C138" s="4">
        <f>16.7905 * CHOOSE(CONTROL!$C$9, $C$13, 100%, $E$13) + CHOOSE(CONTROL!$C$28, 0.0003, 0)</f>
        <v>16.790800000000001</v>
      </c>
      <c r="D138" s="4">
        <f>25.2242 * CHOOSE(CONTROL!$C$9, $C$13, 100%, $E$13) + CHOOSE(CONTROL!$C$28, 0, 0)</f>
        <v>25.2242</v>
      </c>
      <c r="E138" s="4">
        <f>105.999276228314 * CHOOSE(CONTROL!$C$9, $C$13, 100%, $E$13) + CHOOSE(CONTROL!$C$28, 0, 0)</f>
        <v>105.999276228314</v>
      </c>
    </row>
    <row r="139" spans="1:5" ht="15">
      <c r="A139" s="13">
        <v>45717</v>
      </c>
      <c r="B139" s="4">
        <f>18.1514 * CHOOSE(CONTROL!$C$9, $C$13, 100%, $E$13) + CHOOSE(CONTROL!$C$28, 0.0003, 0)</f>
        <v>18.151699999999998</v>
      </c>
      <c r="C139" s="4">
        <f>17.7882 * CHOOSE(CONTROL!$C$9, $C$13, 100%, $E$13) + CHOOSE(CONTROL!$C$28, 0.0003, 0)</f>
        <v>17.788499999999999</v>
      </c>
      <c r="D139" s="4">
        <f>26.4715 * CHOOSE(CONTROL!$C$9, $C$13, 100%, $E$13) + CHOOSE(CONTROL!$C$28, 0, 0)</f>
        <v>26.471499999999999</v>
      </c>
      <c r="E139" s="4">
        <f>112.455340851888 * CHOOSE(CONTROL!$C$9, $C$13, 100%, $E$13) + CHOOSE(CONTROL!$C$28, 0, 0)</f>
        <v>112.455340851888</v>
      </c>
    </row>
    <row r="140" spans="1:5" ht="15">
      <c r="A140" s="13">
        <v>45748</v>
      </c>
      <c r="B140" s="4">
        <f>18.8603 * CHOOSE(CONTROL!$C$9, $C$13, 100%, $E$13) + CHOOSE(CONTROL!$C$28, 0.0003, 0)</f>
        <v>18.860599999999998</v>
      </c>
      <c r="C140" s="4">
        <f>18.497 * CHOOSE(CONTROL!$C$9, $C$13, 100%, $E$13) + CHOOSE(CONTROL!$C$28, 0.0003, 0)</f>
        <v>18.497299999999999</v>
      </c>
      <c r="D140" s="4">
        <f>27.19 * CHOOSE(CONTROL!$C$9, $C$13, 100%, $E$13) + CHOOSE(CONTROL!$C$28, 0, 0)</f>
        <v>27.19</v>
      </c>
      <c r="E140" s="4">
        <f>117.042460805311 * CHOOSE(CONTROL!$C$9, $C$13, 100%, $E$13) + CHOOSE(CONTROL!$C$28, 0, 0)</f>
        <v>117.04246080531099</v>
      </c>
    </row>
    <row r="141" spans="1:5" ht="15">
      <c r="A141" s="13">
        <v>45778</v>
      </c>
      <c r="B141" s="4">
        <f>19.2934 * CHOOSE(CONTROL!$C$9, $C$13, 100%, $E$13) + CHOOSE(CONTROL!$C$28, 0.013, 0)</f>
        <v>19.3064</v>
      </c>
      <c r="C141" s="4">
        <f>18.9301 * CHOOSE(CONTROL!$C$9, $C$13, 100%, $E$13) + CHOOSE(CONTROL!$C$28, 0.013, 0)</f>
        <v>18.943100000000001</v>
      </c>
      <c r="D141" s="4">
        <f>26.9061 * CHOOSE(CONTROL!$C$9, $C$13, 100%, $E$13) + CHOOSE(CONTROL!$C$28, 0, 0)</f>
        <v>26.906099999999999</v>
      </c>
      <c r="E141" s="4">
        <f>119.845081158931 * CHOOSE(CONTROL!$C$9, $C$13, 100%, $E$13) + CHOOSE(CONTROL!$C$28, 0, 0)</f>
        <v>119.845081158931</v>
      </c>
    </row>
    <row r="142" spans="1:5" ht="15">
      <c r="A142" s="13">
        <v>45809</v>
      </c>
      <c r="B142" s="4">
        <f>19.352 * CHOOSE(CONTROL!$C$9, $C$13, 100%, $E$13) + CHOOSE(CONTROL!$C$28, 0.013, 0)</f>
        <v>19.365000000000002</v>
      </c>
      <c r="C142" s="4">
        <f>18.9887 * CHOOSE(CONTROL!$C$9, $C$13, 100%, $E$13) + CHOOSE(CONTROL!$C$28, 0.013, 0)</f>
        <v>19.001700000000003</v>
      </c>
      <c r="D142" s="4">
        <f>27.1373 * CHOOSE(CONTROL!$C$9, $C$13, 100%, $E$13) + CHOOSE(CONTROL!$C$28, 0, 0)</f>
        <v>27.1373</v>
      </c>
      <c r="E142" s="4">
        <f>120.224287323889 * CHOOSE(CONTROL!$C$9, $C$13, 100%, $E$13) + CHOOSE(CONTROL!$C$28, 0, 0)</f>
        <v>120.224287323889</v>
      </c>
    </row>
    <row r="143" spans="1:5" ht="15">
      <c r="A143" s="13">
        <v>45839</v>
      </c>
      <c r="B143" s="4">
        <f>19.3461 * CHOOSE(CONTROL!$C$9, $C$13, 100%, $E$13) + CHOOSE(CONTROL!$C$28, 0.013, 0)</f>
        <v>19.359100000000002</v>
      </c>
      <c r="C143" s="4">
        <f>18.9828 * CHOOSE(CONTROL!$C$9, $C$13, 100%, $E$13) + CHOOSE(CONTROL!$C$28, 0.013, 0)</f>
        <v>18.995800000000003</v>
      </c>
      <c r="D143" s="4">
        <f>27.5545 * CHOOSE(CONTROL!$C$9, $C$13, 100%, $E$13) + CHOOSE(CONTROL!$C$28, 0, 0)</f>
        <v>27.554500000000001</v>
      </c>
      <c r="E143" s="4">
        <f>120.18604804675 * CHOOSE(CONTROL!$C$9, $C$13, 100%, $E$13) + CHOOSE(CONTROL!$C$28, 0, 0)</f>
        <v>120.18604804675</v>
      </c>
    </row>
    <row r="144" spans="1:5" ht="15">
      <c r="A144" s="13">
        <v>45870</v>
      </c>
      <c r="B144" s="4">
        <f>19.7907 * CHOOSE(CONTROL!$C$9, $C$13, 100%, $E$13) + CHOOSE(CONTROL!$C$28, 0.013, 0)</f>
        <v>19.803700000000003</v>
      </c>
      <c r="C144" s="4">
        <f>19.4275 * CHOOSE(CONTROL!$C$9, $C$13, 100%, $E$13) + CHOOSE(CONTROL!$C$28, 0.013, 0)</f>
        <v>19.4405</v>
      </c>
      <c r="D144" s="4">
        <f>27.279 * CHOOSE(CONTROL!$C$9, $C$13, 100%, $E$13) + CHOOSE(CONTROL!$C$28, 0, 0)</f>
        <v>27.279</v>
      </c>
      <c r="E144" s="4">
        <f>123.063553651433 * CHOOSE(CONTROL!$C$9, $C$13, 100%, $E$13) + CHOOSE(CONTROL!$C$28, 0, 0)</f>
        <v>123.063553651433</v>
      </c>
    </row>
    <row r="145" spans="1:5" ht="15">
      <c r="A145" s="13">
        <v>45901</v>
      </c>
      <c r="B145" s="4">
        <f>19.0329 * CHOOSE(CONTROL!$C$9, $C$13, 100%, $E$13) + CHOOSE(CONTROL!$C$28, 0.013, 0)</f>
        <v>19.045900000000003</v>
      </c>
      <c r="C145" s="4">
        <f>18.6696 * CHOOSE(CONTROL!$C$9, $C$13, 100%, $E$13) + CHOOSE(CONTROL!$C$28, 0.013, 0)</f>
        <v>18.682600000000001</v>
      </c>
      <c r="D145" s="4">
        <f>27.1488 * CHOOSE(CONTROL!$C$9, $C$13, 100%, $E$13) + CHOOSE(CONTROL!$C$28, 0, 0)</f>
        <v>27.148800000000001</v>
      </c>
      <c r="E145" s="4">
        <f>118.159366358402 * CHOOSE(CONTROL!$C$9, $C$13, 100%, $E$13) + CHOOSE(CONTROL!$C$28, 0, 0)</f>
        <v>118.159366358402</v>
      </c>
    </row>
    <row r="146" spans="1:5" ht="15">
      <c r="A146" s="13">
        <v>45931</v>
      </c>
      <c r="B146" s="4">
        <f>18.4262 * CHOOSE(CONTROL!$C$9, $C$13, 100%, $E$13) + CHOOSE(CONTROL!$C$28, 0.0003, 0)</f>
        <v>18.426500000000001</v>
      </c>
      <c r="C146" s="4">
        <f>18.0629 * CHOOSE(CONTROL!$C$9, $C$13, 100%, $E$13) + CHOOSE(CONTROL!$C$28, 0.0003, 0)</f>
        <v>18.063199999999998</v>
      </c>
      <c r="D146" s="4">
        <f>26.8002 * CHOOSE(CONTROL!$C$9, $C$13, 100%, $E$13) + CHOOSE(CONTROL!$C$28, 0, 0)</f>
        <v>26.8002</v>
      </c>
      <c r="E146" s="4">
        <f>114.233467238835 * CHOOSE(CONTROL!$C$9, $C$13, 100%, $E$13) + CHOOSE(CONTROL!$C$28, 0, 0)</f>
        <v>114.233467238835</v>
      </c>
    </row>
    <row r="147" spans="1:5" ht="15">
      <c r="A147" s="13">
        <v>45962</v>
      </c>
      <c r="B147" s="4">
        <f>18.0355 * CHOOSE(CONTROL!$C$9, $C$13, 100%, $E$13) + CHOOSE(CONTROL!$C$28, 0.0003, 0)</f>
        <v>18.035799999999998</v>
      </c>
      <c r="C147" s="4">
        <f>17.6722 * CHOOSE(CONTROL!$C$9, $C$13, 100%, $E$13) + CHOOSE(CONTROL!$C$28, 0.0003, 0)</f>
        <v>17.672499999999999</v>
      </c>
      <c r="D147" s="4">
        <f>26.6804 * CHOOSE(CONTROL!$C$9, $C$13, 100%, $E$13) + CHOOSE(CONTROL!$C$28, 0, 0)</f>
        <v>26.680399999999999</v>
      </c>
      <c r="E147" s="4">
        <f>111.704895038042 * CHOOSE(CONTROL!$C$9, $C$13, 100%, $E$13) + CHOOSE(CONTROL!$C$28, 0, 0)</f>
        <v>111.704895038042</v>
      </c>
    </row>
    <row r="148" spans="1:5" ht="15">
      <c r="A148" s="13">
        <v>45992</v>
      </c>
      <c r="B148" s="4">
        <f>17.7651 * CHOOSE(CONTROL!$C$9, $C$13, 100%, $E$13) + CHOOSE(CONTROL!$C$28, 0.0003, 0)</f>
        <v>17.7654</v>
      </c>
      <c r="C148" s="4">
        <f>17.4018 * CHOOSE(CONTROL!$C$9, $C$13, 100%, $E$13) + CHOOSE(CONTROL!$C$28, 0.0003, 0)</f>
        <v>17.402100000000001</v>
      </c>
      <c r="D148" s="4">
        <f>25.7981 * CHOOSE(CONTROL!$C$9, $C$13, 100%, $E$13) + CHOOSE(CONTROL!$C$28, 0, 0)</f>
        <v>25.798100000000002</v>
      </c>
      <c r="E148" s="4">
        <f>109.955448108949 * CHOOSE(CONTROL!$C$9, $C$13, 100%, $E$13) + CHOOSE(CONTROL!$C$28, 0, 0)</f>
        <v>109.955448108949</v>
      </c>
    </row>
    <row r="149" spans="1:5" ht="15">
      <c r="A149" s="13">
        <v>46023</v>
      </c>
      <c r="B149" s="4">
        <f>17.2971 * CHOOSE(CONTROL!$C$9, $C$13, 100%, $E$13) + CHOOSE(CONTROL!$C$28, 0.0003, 0)</f>
        <v>17.2974</v>
      </c>
      <c r="C149" s="4">
        <f>16.9339 * CHOOSE(CONTROL!$C$9, $C$13, 100%, $E$13) + CHOOSE(CONTROL!$C$28, 0.0003, 0)</f>
        <v>16.934200000000001</v>
      </c>
      <c r="D149" s="4">
        <f>25.1138 * CHOOSE(CONTROL!$C$9, $C$13, 100%, $E$13) + CHOOSE(CONTROL!$C$28, 0, 0)</f>
        <v>25.113800000000001</v>
      </c>
      <c r="E149" s="4">
        <f>107.022544453101 * CHOOSE(CONTROL!$C$9, $C$13, 100%, $E$13) + CHOOSE(CONTROL!$C$28, 0, 0)</f>
        <v>107.02254445310101</v>
      </c>
    </row>
    <row r="150" spans="1:5" ht="15">
      <c r="A150" s="13">
        <v>46054</v>
      </c>
      <c r="B150" s="4">
        <f>17.6895 * CHOOSE(CONTROL!$C$9, $C$13, 100%, $E$13) + CHOOSE(CONTROL!$C$28, 0.0003, 0)</f>
        <v>17.689799999999998</v>
      </c>
      <c r="C150" s="4">
        <f>17.3262 * CHOOSE(CONTROL!$C$9, $C$13, 100%, $E$13) + CHOOSE(CONTROL!$C$28, 0.0003, 0)</f>
        <v>17.326499999999999</v>
      </c>
      <c r="D150" s="4">
        <f>25.9348 * CHOOSE(CONTROL!$C$9, $C$13, 100%, $E$13) + CHOOSE(CONTROL!$C$28, 0, 0)</f>
        <v>25.934799999999999</v>
      </c>
      <c r="E150" s="4">
        <f>109.563681424574 * CHOOSE(CONTROL!$C$9, $C$13, 100%, $E$13) + CHOOSE(CONTROL!$C$28, 0, 0)</f>
        <v>109.563681424574</v>
      </c>
    </row>
    <row r="151" spans="1:5" ht="15">
      <c r="A151" s="13">
        <v>46082</v>
      </c>
      <c r="B151" s="4">
        <f>18.7198 * CHOOSE(CONTROL!$C$9, $C$13, 100%, $E$13) + CHOOSE(CONTROL!$C$28, 0.0003, 0)</f>
        <v>18.720099999999999</v>
      </c>
      <c r="C151" s="4">
        <f>18.3565 * CHOOSE(CONTROL!$C$9, $C$13, 100%, $E$13) + CHOOSE(CONTROL!$C$28, 0.0003, 0)</f>
        <v>18.3568</v>
      </c>
      <c r="D151" s="4">
        <f>27.22 * CHOOSE(CONTROL!$C$9, $C$13, 100%, $E$13) + CHOOSE(CONTROL!$C$28, 0, 0)</f>
        <v>27.22</v>
      </c>
      <c r="E151" s="4">
        <f>116.23684215588 * CHOOSE(CONTROL!$C$9, $C$13, 100%, $E$13) + CHOOSE(CONTROL!$C$28, 0, 0)</f>
        <v>116.23684215588</v>
      </c>
    </row>
    <row r="152" spans="1:5" ht="15">
      <c r="A152" s="13">
        <v>46113</v>
      </c>
      <c r="B152" s="4">
        <f>19.4518 * CHOOSE(CONTROL!$C$9, $C$13, 100%, $E$13) + CHOOSE(CONTROL!$C$28, 0.0003, 0)</f>
        <v>19.452099999999998</v>
      </c>
      <c r="C152" s="4">
        <f>19.0885 * CHOOSE(CONTROL!$C$9, $C$13, 100%, $E$13) + CHOOSE(CONTROL!$C$28, 0.0003, 0)</f>
        <v>19.088799999999999</v>
      </c>
      <c r="D152" s="4">
        <f>27.9603 * CHOOSE(CONTROL!$C$9, $C$13, 100%, $E$13) + CHOOSE(CONTROL!$C$28, 0, 0)</f>
        <v>27.9603</v>
      </c>
      <c r="E152" s="4">
        <f>120.978211787034 * CHOOSE(CONTROL!$C$9, $C$13, 100%, $E$13) + CHOOSE(CONTROL!$C$28, 0, 0)</f>
        <v>120.978211787034</v>
      </c>
    </row>
    <row r="153" spans="1:5" ht="15">
      <c r="A153" s="13">
        <v>46143</v>
      </c>
      <c r="B153" s="4">
        <f>19.8991 * CHOOSE(CONTROL!$C$9, $C$13, 100%, $E$13) + CHOOSE(CONTROL!$C$28, 0.013, 0)</f>
        <v>19.912100000000002</v>
      </c>
      <c r="C153" s="4">
        <f>19.5358 * CHOOSE(CONTROL!$C$9, $C$13, 100%, $E$13) + CHOOSE(CONTROL!$C$28, 0.013, 0)</f>
        <v>19.5488</v>
      </c>
      <c r="D153" s="4">
        <f>27.6678 * CHOOSE(CONTROL!$C$9, $C$13, 100%, $E$13) + CHOOSE(CONTROL!$C$28, 0, 0)</f>
        <v>27.6678</v>
      </c>
      <c r="E153" s="4">
        <f>123.875074996897 * CHOOSE(CONTROL!$C$9, $C$13, 100%, $E$13) + CHOOSE(CONTROL!$C$28, 0, 0)</f>
        <v>123.875074996897</v>
      </c>
    </row>
    <row r="154" spans="1:5" ht="15">
      <c r="A154" s="13">
        <v>46174</v>
      </c>
      <c r="B154" s="4">
        <f>19.9596 * CHOOSE(CONTROL!$C$9, $C$13, 100%, $E$13) + CHOOSE(CONTROL!$C$28, 0.013, 0)</f>
        <v>19.9726</v>
      </c>
      <c r="C154" s="4">
        <f>19.5963 * CHOOSE(CONTROL!$C$9, $C$13, 100%, $E$13) + CHOOSE(CONTROL!$C$28, 0.013, 0)</f>
        <v>19.609300000000001</v>
      </c>
      <c r="D154" s="4">
        <f>27.906 * CHOOSE(CONTROL!$C$9, $C$13, 100%, $E$13) + CHOOSE(CONTROL!$C$28, 0, 0)</f>
        <v>27.905999999999999</v>
      </c>
      <c r="E154" s="4">
        <f>124.267032611421 * CHOOSE(CONTROL!$C$9, $C$13, 100%, $E$13) + CHOOSE(CONTROL!$C$28, 0, 0)</f>
        <v>124.267032611421</v>
      </c>
    </row>
    <row r="155" spans="1:5" ht="15">
      <c r="A155" s="13">
        <v>46204</v>
      </c>
      <c r="B155" s="4">
        <f>19.9535 * CHOOSE(CONTROL!$C$9, $C$13, 100%, $E$13) + CHOOSE(CONTROL!$C$28, 0.013, 0)</f>
        <v>19.9665</v>
      </c>
      <c r="C155" s="4">
        <f>19.5902 * CHOOSE(CONTROL!$C$9, $C$13, 100%, $E$13) + CHOOSE(CONTROL!$C$28, 0.013, 0)</f>
        <v>19.603200000000001</v>
      </c>
      <c r="D155" s="4">
        <f>28.3359 * CHOOSE(CONTROL!$C$9, $C$13, 100%, $E$13) + CHOOSE(CONTROL!$C$28, 0, 0)</f>
        <v>28.335899999999999</v>
      </c>
      <c r="E155" s="4">
        <f>124.227507473822 * CHOOSE(CONTROL!$C$9, $C$13, 100%, $E$13) + CHOOSE(CONTROL!$C$28, 0, 0)</f>
        <v>124.227507473822</v>
      </c>
    </row>
    <row r="156" spans="1:5" ht="15">
      <c r="A156" s="13">
        <v>46235</v>
      </c>
      <c r="B156" s="4">
        <f>20.4127 * CHOOSE(CONTROL!$C$9, $C$13, 100%, $E$13) + CHOOSE(CONTROL!$C$28, 0.013, 0)</f>
        <v>20.425700000000003</v>
      </c>
      <c r="C156" s="4">
        <f>20.0494 * CHOOSE(CONTROL!$C$9, $C$13, 100%, $E$13) + CHOOSE(CONTROL!$C$28, 0.013, 0)</f>
        <v>20.0624</v>
      </c>
      <c r="D156" s="4">
        <f>28.052 * CHOOSE(CONTROL!$C$9, $C$13, 100%, $E$13) + CHOOSE(CONTROL!$C$28, 0, 0)</f>
        <v>28.052</v>
      </c>
      <c r="E156" s="4">
        <f>127.201774078151 * CHOOSE(CONTROL!$C$9, $C$13, 100%, $E$13) + CHOOSE(CONTROL!$C$28, 0, 0)</f>
        <v>127.201774078151</v>
      </c>
    </row>
    <row r="157" spans="1:5" ht="15">
      <c r="A157" s="13">
        <v>46266</v>
      </c>
      <c r="B157" s="4">
        <f>19.6301 * CHOOSE(CONTROL!$C$9, $C$13, 100%, $E$13) + CHOOSE(CONTROL!$C$28, 0.013, 0)</f>
        <v>19.6431</v>
      </c>
      <c r="C157" s="4">
        <f>19.2668 * CHOOSE(CONTROL!$C$9, $C$13, 100%, $E$13) + CHOOSE(CONTROL!$C$28, 0.013, 0)</f>
        <v>19.279800000000002</v>
      </c>
      <c r="D157" s="4">
        <f>27.9179 * CHOOSE(CONTROL!$C$9, $C$13, 100%, $E$13) + CHOOSE(CONTROL!$C$28, 0, 0)</f>
        <v>27.917899999999999</v>
      </c>
      <c r="E157" s="4">
        <f>122.132675181073 * CHOOSE(CONTROL!$C$9, $C$13, 100%, $E$13) + CHOOSE(CONTROL!$C$28, 0, 0)</f>
        <v>122.132675181073</v>
      </c>
    </row>
    <row r="158" spans="1:5" ht="15">
      <c r="A158" s="13">
        <v>46296</v>
      </c>
      <c r="B158" s="4">
        <f>19.0035 * CHOOSE(CONTROL!$C$9, $C$13, 100%, $E$13) + CHOOSE(CONTROL!$C$28, 0.0003, 0)</f>
        <v>19.003799999999998</v>
      </c>
      <c r="C158" s="4">
        <f>18.6403 * CHOOSE(CONTROL!$C$9, $C$13, 100%, $E$13) + CHOOSE(CONTROL!$C$28, 0.0003, 0)</f>
        <v>18.640599999999999</v>
      </c>
      <c r="D158" s="4">
        <f>27.5587 * CHOOSE(CONTROL!$C$9, $C$13, 100%, $E$13) + CHOOSE(CONTROL!$C$28, 0, 0)</f>
        <v>27.558700000000002</v>
      </c>
      <c r="E158" s="4">
        <f>118.074761054236 * CHOOSE(CONTROL!$C$9, $C$13, 100%, $E$13) + CHOOSE(CONTROL!$C$28, 0, 0)</f>
        <v>118.07476105423601</v>
      </c>
    </row>
    <row r="159" spans="1:5" ht="15">
      <c r="A159" s="13">
        <v>46327</v>
      </c>
      <c r="B159" s="4">
        <f>18.6 * CHOOSE(CONTROL!$C$9, $C$13, 100%, $E$13) + CHOOSE(CONTROL!$C$28, 0.0003, 0)</f>
        <v>18.600300000000001</v>
      </c>
      <c r="C159" s="4">
        <f>18.2367 * CHOOSE(CONTROL!$C$9, $C$13, 100%, $E$13) + CHOOSE(CONTROL!$C$28, 0.0003, 0)</f>
        <v>18.236999999999998</v>
      </c>
      <c r="D159" s="4">
        <f>27.4352 * CHOOSE(CONTROL!$C$9, $C$13, 100%, $E$13) + CHOOSE(CONTROL!$C$28, 0, 0)</f>
        <v>27.435199999999998</v>
      </c>
      <c r="E159" s="4">
        <f>115.461161330499 * CHOOSE(CONTROL!$C$9, $C$13, 100%, $E$13) + CHOOSE(CONTROL!$C$28, 0, 0)</f>
        <v>115.461161330499</v>
      </c>
    </row>
    <row r="160" spans="1:5" ht="15">
      <c r="A160" s="13">
        <v>46357</v>
      </c>
      <c r="B160" s="4">
        <f>18.3208 * CHOOSE(CONTROL!$C$9, $C$13, 100%, $E$13) + CHOOSE(CONTROL!$C$28, 0.0003, 0)</f>
        <v>18.321099999999998</v>
      </c>
      <c r="C160" s="4">
        <f>17.9575 * CHOOSE(CONTROL!$C$9, $C$13, 100%, $E$13) + CHOOSE(CONTROL!$C$28, 0.0003, 0)</f>
        <v>17.957799999999999</v>
      </c>
      <c r="D160" s="4">
        <f>26.5262 * CHOOSE(CONTROL!$C$9, $C$13, 100%, $E$13) + CHOOSE(CONTROL!$C$28, 0, 0)</f>
        <v>26.526199999999999</v>
      </c>
      <c r="E160" s="4">
        <f>113.652886285342 * CHOOSE(CONTROL!$C$9, $C$13, 100%, $E$13) + CHOOSE(CONTROL!$C$28, 0, 0)</f>
        <v>113.65288628534201</v>
      </c>
    </row>
    <row r="161" spans="1:5" ht="15">
      <c r="A161" s="13">
        <v>46388</v>
      </c>
      <c r="B161" s="4">
        <f>17.8331 * CHOOSE(CONTROL!$C$9, $C$13, 100%, $E$13) + CHOOSE(CONTROL!$C$28, 0.0003, 0)</f>
        <v>17.833400000000001</v>
      </c>
      <c r="C161" s="4">
        <f>17.4698 * CHOOSE(CONTROL!$C$9, $C$13, 100%, $E$13) + CHOOSE(CONTROL!$C$28, 0.0003, 0)</f>
        <v>17.470099999999999</v>
      </c>
      <c r="D161" s="4">
        <f>25.7979 * CHOOSE(CONTROL!$C$9, $C$13, 100%, $E$13) + CHOOSE(CONTROL!$C$28, 0, 0)</f>
        <v>25.797899999999998</v>
      </c>
      <c r="E161" s="4">
        <f>110.503886973775 * CHOOSE(CONTROL!$C$9, $C$13, 100%, $E$13) + CHOOSE(CONTROL!$C$28, 0, 0)</f>
        <v>110.503886973775</v>
      </c>
    </row>
    <row r="162" spans="1:5" ht="15">
      <c r="A162" s="13">
        <v>46419</v>
      </c>
      <c r="B162" s="4">
        <f>18.2382 * CHOOSE(CONTROL!$C$9, $C$13, 100%, $E$13) + CHOOSE(CONTROL!$C$28, 0.0003, 0)</f>
        <v>18.238499999999998</v>
      </c>
      <c r="C162" s="4">
        <f>17.8749 * CHOOSE(CONTROL!$C$9, $C$13, 100%, $E$13) + CHOOSE(CONTROL!$C$28, 0.0003, 0)</f>
        <v>17.8752</v>
      </c>
      <c r="D162" s="4">
        <f>26.6431 * CHOOSE(CONTROL!$C$9, $C$13, 100%, $E$13) + CHOOSE(CONTROL!$C$28, 0, 0)</f>
        <v>26.6431</v>
      </c>
      <c r="E162" s="4">
        <f>113.127684736344 * CHOOSE(CONTROL!$C$9, $C$13, 100%, $E$13) + CHOOSE(CONTROL!$C$28, 0, 0)</f>
        <v>113.12768473634399</v>
      </c>
    </row>
    <row r="163" spans="1:5" ht="15">
      <c r="A163" s="13">
        <v>46447</v>
      </c>
      <c r="B163" s="4">
        <f>19.3019 * CHOOSE(CONTROL!$C$9, $C$13, 100%, $E$13) + CHOOSE(CONTROL!$C$28, 0.0003, 0)</f>
        <v>19.302199999999999</v>
      </c>
      <c r="C163" s="4">
        <f>18.9386 * CHOOSE(CONTROL!$C$9, $C$13, 100%, $E$13) + CHOOSE(CONTROL!$C$28, 0.0003, 0)</f>
        <v>18.9389</v>
      </c>
      <c r="D163" s="4">
        <f>27.9661 * CHOOSE(CONTROL!$C$9, $C$13, 100%, $E$13) + CHOOSE(CONTROL!$C$28, 0, 0)</f>
        <v>27.966100000000001</v>
      </c>
      <c r="E163" s="4">
        <f>120.017917097931 * CHOOSE(CONTROL!$C$9, $C$13, 100%, $E$13) + CHOOSE(CONTROL!$C$28, 0, 0)</f>
        <v>120.017917097931</v>
      </c>
    </row>
    <row r="164" spans="1:5" ht="15">
      <c r="A164" s="13">
        <v>46478</v>
      </c>
      <c r="B164" s="4">
        <f>20.0577 * CHOOSE(CONTROL!$C$9, $C$13, 100%, $E$13) + CHOOSE(CONTROL!$C$28, 0.0003, 0)</f>
        <v>20.058</v>
      </c>
      <c r="C164" s="4">
        <f>19.6944 * CHOOSE(CONTROL!$C$9, $C$13, 100%, $E$13) + CHOOSE(CONTROL!$C$28, 0.0003, 0)</f>
        <v>19.694700000000001</v>
      </c>
      <c r="D164" s="4">
        <f>28.7282 * CHOOSE(CONTROL!$C$9, $C$13, 100%, $E$13) + CHOOSE(CONTROL!$C$28, 0, 0)</f>
        <v>28.728200000000001</v>
      </c>
      <c r="E164" s="4">
        <f>124.913519015258 * CHOOSE(CONTROL!$C$9, $C$13, 100%, $E$13) + CHOOSE(CONTROL!$C$28, 0, 0)</f>
        <v>124.913519015258</v>
      </c>
    </row>
    <row r="165" spans="1:5" ht="15">
      <c r="A165" s="13">
        <v>46508</v>
      </c>
      <c r="B165" s="4">
        <f>20.5195 * CHOOSE(CONTROL!$C$9, $C$13, 100%, $E$13) + CHOOSE(CONTROL!$C$28, 0.013, 0)</f>
        <v>20.532500000000002</v>
      </c>
      <c r="C165" s="4">
        <f>20.1562 * CHOOSE(CONTROL!$C$9, $C$13, 100%, $E$13) + CHOOSE(CONTROL!$C$28, 0.013, 0)</f>
        <v>20.1692</v>
      </c>
      <c r="D165" s="4">
        <f>28.427 * CHOOSE(CONTROL!$C$9, $C$13, 100%, $E$13) + CHOOSE(CONTROL!$C$28, 0, 0)</f>
        <v>28.427</v>
      </c>
      <c r="E165" s="4">
        <f>127.904614455542 * CHOOSE(CONTROL!$C$9, $C$13, 100%, $E$13) + CHOOSE(CONTROL!$C$28, 0, 0)</f>
        <v>127.904614455542</v>
      </c>
    </row>
    <row r="166" spans="1:5" ht="15">
      <c r="A166" s="13">
        <v>46539</v>
      </c>
      <c r="B166" s="4">
        <f>20.5819 * CHOOSE(CONTROL!$C$9, $C$13, 100%, $E$13) + CHOOSE(CONTROL!$C$28, 0.013, 0)</f>
        <v>20.594900000000003</v>
      </c>
      <c r="C166" s="4">
        <f>20.2187 * CHOOSE(CONTROL!$C$9, $C$13, 100%, $E$13) + CHOOSE(CONTROL!$C$28, 0.013, 0)</f>
        <v>20.2317</v>
      </c>
      <c r="D166" s="4">
        <f>28.6723 * CHOOSE(CONTROL!$C$9, $C$13, 100%, $E$13) + CHOOSE(CONTROL!$C$28, 0, 0)</f>
        <v>28.6723</v>
      </c>
      <c r="E166" s="4">
        <f>128.309322081914 * CHOOSE(CONTROL!$C$9, $C$13, 100%, $E$13) + CHOOSE(CONTROL!$C$28, 0, 0)</f>
        <v>128.30932208191399</v>
      </c>
    </row>
    <row r="167" spans="1:5" ht="15">
      <c r="A167" s="13">
        <v>46569</v>
      </c>
      <c r="B167" s="4">
        <f>20.5756 * CHOOSE(CONTROL!$C$9, $C$13, 100%, $E$13) + CHOOSE(CONTROL!$C$28, 0.013, 0)</f>
        <v>20.588600000000003</v>
      </c>
      <c r="C167" s="4">
        <f>20.2124 * CHOOSE(CONTROL!$C$9, $C$13, 100%, $E$13) + CHOOSE(CONTROL!$C$28, 0.013, 0)</f>
        <v>20.2254</v>
      </c>
      <c r="D167" s="4">
        <f>29.1148 * CHOOSE(CONTROL!$C$9, $C$13, 100%, $E$13) + CHOOSE(CONTROL!$C$28, 0, 0)</f>
        <v>29.114799999999999</v>
      </c>
      <c r="E167" s="4">
        <f>128.268511228834 * CHOOSE(CONTROL!$C$9, $C$13, 100%, $E$13) + CHOOSE(CONTROL!$C$28, 0, 0)</f>
        <v>128.268511228834</v>
      </c>
    </row>
    <row r="168" spans="1:5" ht="15">
      <c r="A168" s="13">
        <v>46600</v>
      </c>
      <c r="B168" s="4">
        <f>21.0497 * CHOOSE(CONTROL!$C$9, $C$13, 100%, $E$13) + CHOOSE(CONTROL!$C$28, 0.013, 0)</f>
        <v>21.062700000000003</v>
      </c>
      <c r="C168" s="4">
        <f>20.6865 * CHOOSE(CONTROL!$C$9, $C$13, 100%, $E$13) + CHOOSE(CONTROL!$C$28, 0.013, 0)</f>
        <v>20.6995</v>
      </c>
      <c r="D168" s="4">
        <f>28.8226 * CHOOSE(CONTROL!$C$9, $C$13, 100%, $E$13) + CHOOSE(CONTROL!$C$28, 0, 0)</f>
        <v>28.822600000000001</v>
      </c>
      <c r="E168" s="4">
        <f>131.339527923066 * CHOOSE(CONTROL!$C$9, $C$13, 100%, $E$13) + CHOOSE(CONTROL!$C$28, 0, 0)</f>
        <v>131.33952792306599</v>
      </c>
    </row>
    <row r="169" spans="1:5" ht="15">
      <c r="A169" s="13">
        <v>46631</v>
      </c>
      <c r="B169" s="4">
        <f>20.2417 * CHOOSE(CONTROL!$C$9, $C$13, 100%, $E$13) + CHOOSE(CONTROL!$C$28, 0.013, 0)</f>
        <v>20.254700000000003</v>
      </c>
      <c r="C169" s="4">
        <f>19.8784 * CHOOSE(CONTROL!$C$9, $C$13, 100%, $E$13) + CHOOSE(CONTROL!$C$28, 0.013, 0)</f>
        <v>19.891400000000001</v>
      </c>
      <c r="D169" s="4">
        <f>28.6845 * CHOOSE(CONTROL!$C$9, $C$13, 100%, $E$13) + CHOOSE(CONTROL!$C$28, 0, 0)</f>
        <v>28.6845</v>
      </c>
      <c r="E169" s="4">
        <f>126.105536015621 * CHOOSE(CONTROL!$C$9, $C$13, 100%, $E$13) + CHOOSE(CONTROL!$C$28, 0, 0)</f>
        <v>126.105536015621</v>
      </c>
    </row>
    <row r="170" spans="1:5" ht="15">
      <c r="A170" s="13">
        <v>46661</v>
      </c>
      <c r="B170" s="4">
        <f>19.5949 * CHOOSE(CONTROL!$C$9, $C$13, 100%, $E$13) + CHOOSE(CONTROL!$C$28, 0.0003, 0)</f>
        <v>19.595199999999998</v>
      </c>
      <c r="C170" s="4">
        <f>19.2316 * CHOOSE(CONTROL!$C$9, $C$13, 100%, $E$13) + CHOOSE(CONTROL!$C$28, 0.0003, 0)</f>
        <v>19.2319</v>
      </c>
      <c r="D170" s="4">
        <f>28.3148 * CHOOSE(CONTROL!$C$9, $C$13, 100%, $E$13) + CHOOSE(CONTROL!$C$28, 0, 0)</f>
        <v>28.314800000000002</v>
      </c>
      <c r="E170" s="4">
        <f>121.915621766127 * CHOOSE(CONTROL!$C$9, $C$13, 100%, $E$13) + CHOOSE(CONTROL!$C$28, 0, 0)</f>
        <v>121.915621766127</v>
      </c>
    </row>
    <row r="171" spans="1:5" ht="15">
      <c r="A171" s="13">
        <v>46692</v>
      </c>
      <c r="B171" s="4">
        <f>19.1783 * CHOOSE(CONTROL!$C$9, $C$13, 100%, $E$13) + CHOOSE(CONTROL!$C$28, 0.0003, 0)</f>
        <v>19.178599999999999</v>
      </c>
      <c r="C171" s="4">
        <f>18.815 * CHOOSE(CONTROL!$C$9, $C$13, 100%, $E$13) + CHOOSE(CONTROL!$C$28, 0.0003, 0)</f>
        <v>18.815300000000001</v>
      </c>
      <c r="D171" s="4">
        <f>28.1877 * CHOOSE(CONTROL!$C$9, $C$13, 100%, $E$13) + CHOOSE(CONTROL!$C$28, 0, 0)</f>
        <v>28.1877</v>
      </c>
      <c r="E171" s="4">
        <f>119.217004106246 * CHOOSE(CONTROL!$C$9, $C$13, 100%, $E$13) + CHOOSE(CONTROL!$C$28, 0, 0)</f>
        <v>119.21700410624599</v>
      </c>
    </row>
    <row r="172" spans="1:5" ht="15">
      <c r="A172" s="13">
        <v>46722</v>
      </c>
      <c r="B172" s="4">
        <f>18.89 * CHOOSE(CONTROL!$C$9, $C$13, 100%, $E$13) + CHOOSE(CONTROL!$C$28, 0.0003, 0)</f>
        <v>18.8903</v>
      </c>
      <c r="C172" s="4">
        <f>18.5267 * CHOOSE(CONTROL!$C$9, $C$13, 100%, $E$13) + CHOOSE(CONTROL!$C$28, 0.0003, 0)</f>
        <v>18.527000000000001</v>
      </c>
      <c r="D172" s="4">
        <f>27.2519 * CHOOSE(CONTROL!$C$9, $C$13, 100%, $E$13) + CHOOSE(CONTROL!$C$28, 0, 0)</f>
        <v>27.251899999999999</v>
      </c>
      <c r="E172" s="4">
        <f>117.349907577859 * CHOOSE(CONTROL!$C$9, $C$13, 100%, $E$13) + CHOOSE(CONTROL!$C$28, 0, 0)</f>
        <v>117.349907577859</v>
      </c>
    </row>
    <row r="173" spans="1:5" ht="15">
      <c r="A173" s="13">
        <v>46753</v>
      </c>
      <c r="B173" s="4">
        <f>18.3338 * CHOOSE(CONTROL!$C$9, $C$13, 100%, $E$13) + CHOOSE(CONTROL!$C$28, 0.0003, 0)</f>
        <v>18.334099999999999</v>
      </c>
      <c r="C173" s="4">
        <f>17.9706 * CHOOSE(CONTROL!$C$9, $C$13, 100%, $E$13) + CHOOSE(CONTROL!$C$28, 0.0003, 0)</f>
        <v>17.9709</v>
      </c>
      <c r="D173" s="4">
        <f>26.4281 * CHOOSE(CONTROL!$C$9, $C$13, 100%, $E$13) + CHOOSE(CONTROL!$C$28, 0, 0)</f>
        <v>26.428100000000001</v>
      </c>
      <c r="E173" s="4">
        <f>113.984843818042 * CHOOSE(CONTROL!$C$9, $C$13, 100%, $E$13) + CHOOSE(CONTROL!$C$28, 0, 0)</f>
        <v>113.98484381804199</v>
      </c>
    </row>
    <row r="174" spans="1:5" ht="15">
      <c r="A174" s="13">
        <v>46784</v>
      </c>
      <c r="B174" s="4">
        <f>18.7508 * CHOOSE(CONTROL!$C$9, $C$13, 100%, $E$13) + CHOOSE(CONTROL!$C$28, 0.0003, 0)</f>
        <v>18.751100000000001</v>
      </c>
      <c r="C174" s="4">
        <f>18.3875 * CHOOSE(CONTROL!$C$9, $C$13, 100%, $E$13) + CHOOSE(CONTROL!$C$28, 0.0003, 0)</f>
        <v>18.387799999999999</v>
      </c>
      <c r="D174" s="4">
        <f>27.2955 * CHOOSE(CONTROL!$C$9, $C$13, 100%, $E$13) + CHOOSE(CONTROL!$C$28, 0, 0)</f>
        <v>27.295500000000001</v>
      </c>
      <c r="E174" s="4">
        <f>116.691293214229 * CHOOSE(CONTROL!$C$9, $C$13, 100%, $E$13) + CHOOSE(CONTROL!$C$28, 0, 0)</f>
        <v>116.69129321422901</v>
      </c>
    </row>
    <row r="175" spans="1:5" ht="15">
      <c r="A175" s="13">
        <v>46813</v>
      </c>
      <c r="B175" s="4">
        <f>19.8457 * CHOOSE(CONTROL!$C$9, $C$13, 100%, $E$13) + CHOOSE(CONTROL!$C$28, 0.0003, 0)</f>
        <v>19.846</v>
      </c>
      <c r="C175" s="4">
        <f>19.4824 * CHOOSE(CONTROL!$C$9, $C$13, 100%, $E$13) + CHOOSE(CONTROL!$C$28, 0.0003, 0)</f>
        <v>19.482699999999998</v>
      </c>
      <c r="D175" s="4">
        <f>28.6533 * CHOOSE(CONTROL!$C$9, $C$13, 100%, $E$13) + CHOOSE(CONTROL!$C$28, 0, 0)</f>
        <v>28.653300000000002</v>
      </c>
      <c r="E175" s="4">
        <f>123.798573158073 * CHOOSE(CONTROL!$C$9, $C$13, 100%, $E$13) + CHOOSE(CONTROL!$C$28, 0, 0)</f>
        <v>123.798573158073</v>
      </c>
    </row>
    <row r="176" spans="1:5" ht="15">
      <c r="A176" s="13">
        <v>46844</v>
      </c>
      <c r="B176" s="4">
        <f>20.6237 * CHOOSE(CONTROL!$C$9, $C$13, 100%, $E$13) + CHOOSE(CONTROL!$C$28, 0.0003, 0)</f>
        <v>20.623999999999999</v>
      </c>
      <c r="C176" s="4">
        <f>20.2604 * CHOOSE(CONTROL!$C$9, $C$13, 100%, $E$13) + CHOOSE(CONTROL!$C$28, 0.0003, 0)</f>
        <v>20.2607</v>
      </c>
      <c r="D176" s="4">
        <f>29.4355 * CHOOSE(CONTROL!$C$9, $C$13, 100%, $E$13) + CHOOSE(CONTROL!$C$28, 0, 0)</f>
        <v>29.435500000000001</v>
      </c>
      <c r="E176" s="4">
        <f>128.848390275133 * CHOOSE(CONTROL!$C$9, $C$13, 100%, $E$13) + CHOOSE(CONTROL!$C$28, 0, 0)</f>
        <v>128.848390275133</v>
      </c>
    </row>
    <row r="177" spans="1:5" ht="15">
      <c r="A177" s="13">
        <v>46874</v>
      </c>
      <c r="B177" s="4">
        <f>21.099 * CHOOSE(CONTROL!$C$9, $C$13, 100%, $E$13) + CHOOSE(CONTROL!$C$28, 0.013, 0)</f>
        <v>21.112000000000002</v>
      </c>
      <c r="C177" s="4">
        <f>20.7357 * CHOOSE(CONTROL!$C$9, $C$13, 100%, $E$13) + CHOOSE(CONTROL!$C$28, 0.013, 0)</f>
        <v>20.748700000000003</v>
      </c>
      <c r="D177" s="4">
        <f>29.1264 * CHOOSE(CONTROL!$C$9, $C$13, 100%, $E$13) + CHOOSE(CONTROL!$C$28, 0, 0)</f>
        <v>29.1264</v>
      </c>
      <c r="E177" s="4">
        <f>131.933707506432 * CHOOSE(CONTROL!$C$9, $C$13, 100%, $E$13) + CHOOSE(CONTROL!$C$28, 0, 0)</f>
        <v>131.933707506432</v>
      </c>
    </row>
    <row r="178" spans="1:5" ht="15">
      <c r="A178" s="13">
        <v>46905</v>
      </c>
      <c r="B178" s="4">
        <f>21.1633 * CHOOSE(CONTROL!$C$9, $C$13, 100%, $E$13) + CHOOSE(CONTROL!$C$28, 0.013, 0)</f>
        <v>21.176300000000001</v>
      </c>
      <c r="C178" s="4">
        <f>20.8001 * CHOOSE(CONTROL!$C$9, $C$13, 100%, $E$13) + CHOOSE(CONTROL!$C$28, 0.013, 0)</f>
        <v>20.813100000000002</v>
      </c>
      <c r="D178" s="4">
        <f>29.3781 * CHOOSE(CONTROL!$C$9, $C$13, 100%, $E$13) + CHOOSE(CONTROL!$C$28, 0, 0)</f>
        <v>29.3781</v>
      </c>
      <c r="E178" s="4">
        <f>132.351163732156 * CHOOSE(CONTROL!$C$9, $C$13, 100%, $E$13) + CHOOSE(CONTROL!$C$28, 0, 0)</f>
        <v>132.35116373215601</v>
      </c>
    </row>
    <row r="179" spans="1:5" ht="15">
      <c r="A179" s="13">
        <v>46935</v>
      </c>
      <c r="B179" s="4">
        <f>21.1568 * CHOOSE(CONTROL!$C$9, $C$13, 100%, $E$13) + CHOOSE(CONTROL!$C$28, 0.013, 0)</f>
        <v>21.169800000000002</v>
      </c>
      <c r="C179" s="4">
        <f>20.7936 * CHOOSE(CONTROL!$C$9, $C$13, 100%, $E$13) + CHOOSE(CONTROL!$C$28, 0.013, 0)</f>
        <v>20.806600000000003</v>
      </c>
      <c r="D179" s="4">
        <f>29.8323 * CHOOSE(CONTROL!$C$9, $C$13, 100%, $E$13) + CHOOSE(CONTROL!$C$28, 0, 0)</f>
        <v>29.8323</v>
      </c>
      <c r="E179" s="4">
        <f>132.309067306032 * CHOOSE(CONTROL!$C$9, $C$13, 100%, $E$13) + CHOOSE(CONTROL!$C$28, 0, 0)</f>
        <v>132.30906730603201</v>
      </c>
    </row>
    <row r="180" spans="1:5" ht="15">
      <c r="A180" s="13">
        <v>46966</v>
      </c>
      <c r="B180" s="4">
        <f>21.6449 * CHOOSE(CONTROL!$C$9, $C$13, 100%, $E$13) + CHOOSE(CONTROL!$C$28, 0.013, 0)</f>
        <v>21.657900000000001</v>
      </c>
      <c r="C180" s="4">
        <f>21.2816 * CHOOSE(CONTROL!$C$9, $C$13, 100%, $E$13) + CHOOSE(CONTROL!$C$28, 0.013, 0)</f>
        <v>21.294600000000003</v>
      </c>
      <c r="D180" s="4">
        <f>29.5324 * CHOOSE(CONTROL!$C$9, $C$13, 100%, $E$13) + CHOOSE(CONTROL!$C$28, 0, 0)</f>
        <v>29.532399999999999</v>
      </c>
      <c r="E180" s="4">
        <f>135.476823371823 * CHOOSE(CONTROL!$C$9, $C$13, 100%, $E$13) + CHOOSE(CONTROL!$C$28, 0, 0)</f>
        <v>135.476823371823</v>
      </c>
    </row>
    <row r="181" spans="1:5" ht="15">
      <c r="A181" s="13">
        <v>46997</v>
      </c>
      <c r="B181" s="4">
        <f>20.8131 * CHOOSE(CONTROL!$C$9, $C$13, 100%, $E$13) + CHOOSE(CONTROL!$C$28, 0.013, 0)</f>
        <v>20.8261</v>
      </c>
      <c r="C181" s="4">
        <f>20.4498 * CHOOSE(CONTROL!$C$9, $C$13, 100%, $E$13) + CHOOSE(CONTROL!$C$28, 0.013, 0)</f>
        <v>20.462800000000001</v>
      </c>
      <c r="D181" s="4">
        <f>29.3906 * CHOOSE(CONTROL!$C$9, $C$13, 100%, $E$13) + CHOOSE(CONTROL!$C$28, 0, 0)</f>
        <v>29.390599999999999</v>
      </c>
      <c r="E181" s="4">
        <f>130.077956721489 * CHOOSE(CONTROL!$C$9, $C$13, 100%, $E$13) + CHOOSE(CONTROL!$C$28, 0, 0)</f>
        <v>130.07795672148899</v>
      </c>
    </row>
    <row r="182" spans="1:5" ht="15">
      <c r="A182" s="13">
        <v>47027</v>
      </c>
      <c r="B182" s="4">
        <f>20.1473 * CHOOSE(CONTROL!$C$9, $C$13, 100%, $E$13) + CHOOSE(CONTROL!$C$28, 0.0003, 0)</f>
        <v>20.147600000000001</v>
      </c>
      <c r="C182" s="4">
        <f>19.784 * CHOOSE(CONTROL!$C$9, $C$13, 100%, $E$13) + CHOOSE(CONTROL!$C$28, 0.0003, 0)</f>
        <v>19.784299999999998</v>
      </c>
      <c r="D182" s="4">
        <f>29.0112 * CHOOSE(CONTROL!$C$9, $C$13, 100%, $E$13) + CHOOSE(CONTROL!$C$28, 0, 0)</f>
        <v>29.011199999999999</v>
      </c>
      <c r="E182" s="4">
        <f>125.756056972814 * CHOOSE(CONTROL!$C$9, $C$13, 100%, $E$13) + CHOOSE(CONTROL!$C$28, 0, 0)</f>
        <v>125.75605697281399</v>
      </c>
    </row>
    <row r="183" spans="1:5" ht="15">
      <c r="A183" s="13">
        <v>47058</v>
      </c>
      <c r="B183" s="4">
        <f>19.7185 * CHOOSE(CONTROL!$C$9, $C$13, 100%, $E$13) + CHOOSE(CONTROL!$C$28, 0.0003, 0)</f>
        <v>19.718799999999998</v>
      </c>
      <c r="C183" s="4">
        <f>19.3552 * CHOOSE(CONTROL!$C$9, $C$13, 100%, $E$13) + CHOOSE(CONTROL!$C$28, 0.0003, 0)</f>
        <v>19.355499999999999</v>
      </c>
      <c r="D183" s="4">
        <f>28.8807 * CHOOSE(CONTROL!$C$9, $C$13, 100%, $E$13) + CHOOSE(CONTROL!$C$28, 0, 0)</f>
        <v>28.880700000000001</v>
      </c>
      <c r="E183" s="4">
        <f>122.9724307954 * CHOOSE(CONTROL!$C$9, $C$13, 100%, $E$13) + CHOOSE(CONTROL!$C$28, 0, 0)</f>
        <v>122.9724307954</v>
      </c>
    </row>
    <row r="184" spans="1:5" ht="15">
      <c r="A184" s="13">
        <v>47088</v>
      </c>
      <c r="B184" s="4">
        <f>19.4218 * CHOOSE(CONTROL!$C$9, $C$13, 100%, $E$13) + CHOOSE(CONTROL!$C$28, 0.0003, 0)</f>
        <v>19.4221</v>
      </c>
      <c r="C184" s="4">
        <f>19.0585 * CHOOSE(CONTROL!$C$9, $C$13, 100%, $E$13) + CHOOSE(CONTROL!$C$28, 0.0003, 0)</f>
        <v>19.058799999999998</v>
      </c>
      <c r="D184" s="4">
        <f>27.9203 * CHOOSE(CONTROL!$C$9, $C$13, 100%, $E$13) + CHOOSE(CONTROL!$C$28, 0, 0)</f>
        <v>27.920300000000001</v>
      </c>
      <c r="E184" s="4">
        <f>121.046519300252 * CHOOSE(CONTROL!$C$9, $C$13, 100%, $E$13) + CHOOSE(CONTROL!$C$28, 0, 0)</f>
        <v>121.046519300252</v>
      </c>
    </row>
    <row r="185" spans="1:5" ht="15">
      <c r="A185" s="13">
        <v>47119</v>
      </c>
      <c r="B185" s="4">
        <f>18.8769 * CHOOSE(CONTROL!$C$9, $C$13, 100%, $E$13) + CHOOSE(CONTROL!$C$28, 0.0003, 0)</f>
        <v>18.877199999999998</v>
      </c>
      <c r="C185" s="4">
        <f>18.5136 * CHOOSE(CONTROL!$C$9, $C$13, 100%, $E$13) + CHOOSE(CONTROL!$C$28, 0.0003, 0)</f>
        <v>18.5139</v>
      </c>
      <c r="D185" s="4">
        <f>27.0121 * CHOOSE(CONTROL!$C$9, $C$13, 100%, $E$13) + CHOOSE(CONTROL!$C$28, 0, 0)</f>
        <v>27.0121</v>
      </c>
      <c r="E185" s="4">
        <f>117.465394324666 * CHOOSE(CONTROL!$C$9, $C$13, 100%, $E$13) + CHOOSE(CONTROL!$C$28, 0, 0)</f>
        <v>117.46539432466599</v>
      </c>
    </row>
    <row r="186" spans="1:5" ht="15">
      <c r="A186" s="13">
        <v>47150</v>
      </c>
      <c r="B186" s="4">
        <f>19.3067 * CHOOSE(CONTROL!$C$9, $C$13, 100%, $E$13) + CHOOSE(CONTROL!$C$28, 0.0003, 0)</f>
        <v>19.306999999999999</v>
      </c>
      <c r="C186" s="4">
        <f>18.9434 * CHOOSE(CONTROL!$C$9, $C$13, 100%, $E$13) + CHOOSE(CONTROL!$C$28, 0.0003, 0)</f>
        <v>18.9437</v>
      </c>
      <c r="D186" s="4">
        <f>27.9001 * CHOOSE(CONTROL!$C$9, $C$13, 100%, $E$13) + CHOOSE(CONTROL!$C$28, 0, 0)</f>
        <v>27.900099999999998</v>
      </c>
      <c r="E186" s="4">
        <f>120.254485706415 * CHOOSE(CONTROL!$C$9, $C$13, 100%, $E$13) + CHOOSE(CONTROL!$C$28, 0, 0)</f>
        <v>120.254485706415</v>
      </c>
    </row>
    <row r="187" spans="1:5" ht="15">
      <c r="A187" s="13">
        <v>47178</v>
      </c>
      <c r="B187" s="4">
        <f>20.4355 * CHOOSE(CONTROL!$C$9, $C$13, 100%, $E$13) + CHOOSE(CONTROL!$C$28, 0.0003, 0)</f>
        <v>20.4358</v>
      </c>
      <c r="C187" s="4">
        <f>20.0722 * CHOOSE(CONTROL!$C$9, $C$13, 100%, $E$13) + CHOOSE(CONTROL!$C$28, 0.0003, 0)</f>
        <v>20.072499999999998</v>
      </c>
      <c r="D187" s="4">
        <f>29.2902 * CHOOSE(CONTROL!$C$9, $C$13, 100%, $E$13) + CHOOSE(CONTROL!$C$28, 0, 0)</f>
        <v>29.290199999999999</v>
      </c>
      <c r="E187" s="4">
        <f>127.578787896205 * CHOOSE(CONTROL!$C$9, $C$13, 100%, $E$13) + CHOOSE(CONTROL!$C$28, 0, 0)</f>
        <v>127.578787896205</v>
      </c>
    </row>
    <row r="188" spans="1:5" ht="15">
      <c r="A188" s="13">
        <v>47209</v>
      </c>
      <c r="B188" s="4">
        <f>21.2375 * CHOOSE(CONTROL!$C$9, $C$13, 100%, $E$13) + CHOOSE(CONTROL!$C$28, 0.0003, 0)</f>
        <v>21.2378</v>
      </c>
      <c r="C188" s="4">
        <f>20.8743 * CHOOSE(CONTROL!$C$9, $C$13, 100%, $E$13) + CHOOSE(CONTROL!$C$28, 0.0003, 0)</f>
        <v>20.874600000000001</v>
      </c>
      <c r="D188" s="4">
        <f>30.091 * CHOOSE(CONTROL!$C$9, $C$13, 100%, $E$13) + CHOOSE(CONTROL!$C$28, 0, 0)</f>
        <v>30.091000000000001</v>
      </c>
      <c r="E188" s="4">
        <f>132.782802211212 * CHOOSE(CONTROL!$C$9, $C$13, 100%, $E$13) + CHOOSE(CONTROL!$C$28, 0, 0)</f>
        <v>132.78280221121199</v>
      </c>
    </row>
    <row r="189" spans="1:5" ht="15">
      <c r="A189" s="13">
        <v>47239</v>
      </c>
      <c r="B189" s="4">
        <f>21.7276 * CHOOSE(CONTROL!$C$9, $C$13, 100%, $E$13) + CHOOSE(CONTROL!$C$28, 0.013, 0)</f>
        <v>21.740600000000001</v>
      </c>
      <c r="C189" s="4">
        <f>21.3643 * CHOOSE(CONTROL!$C$9, $C$13, 100%, $E$13) + CHOOSE(CONTROL!$C$28, 0.013, 0)</f>
        <v>21.377300000000002</v>
      </c>
      <c r="D189" s="4">
        <f>29.7746 * CHOOSE(CONTROL!$C$9, $C$13, 100%, $E$13) + CHOOSE(CONTROL!$C$28, 0, 0)</f>
        <v>29.7746</v>
      </c>
      <c r="E189" s="4">
        <f>135.962330234865 * CHOOSE(CONTROL!$C$9, $C$13, 100%, $E$13) + CHOOSE(CONTROL!$C$28, 0, 0)</f>
        <v>135.96233023486499</v>
      </c>
    </row>
    <row r="190" spans="1:5" ht="15">
      <c r="A190" s="13">
        <v>47270</v>
      </c>
      <c r="B190" s="4">
        <f>21.7939 * CHOOSE(CONTROL!$C$9, $C$13, 100%, $E$13) + CHOOSE(CONTROL!$C$28, 0.013, 0)</f>
        <v>21.806900000000002</v>
      </c>
      <c r="C190" s="4">
        <f>21.4306 * CHOOSE(CONTROL!$C$9, $C$13, 100%, $E$13) + CHOOSE(CONTROL!$C$28, 0.013, 0)</f>
        <v>21.4436</v>
      </c>
      <c r="D190" s="4">
        <f>30.0323 * CHOOSE(CONTROL!$C$9, $C$13, 100%, $E$13) + CHOOSE(CONTROL!$C$28, 0, 0)</f>
        <v>30.032299999999999</v>
      </c>
      <c r="E190" s="4">
        <f>136.392533571778 * CHOOSE(CONTROL!$C$9, $C$13, 100%, $E$13) + CHOOSE(CONTROL!$C$28, 0, 0)</f>
        <v>136.39253357177799</v>
      </c>
    </row>
    <row r="191" spans="1:5" ht="15">
      <c r="A191" s="13">
        <v>47300</v>
      </c>
      <c r="B191" s="4">
        <f>21.7872 * CHOOSE(CONTROL!$C$9, $C$13, 100%, $E$13) + CHOOSE(CONTROL!$C$28, 0.013, 0)</f>
        <v>21.8002</v>
      </c>
      <c r="C191" s="4">
        <f>21.4239 * CHOOSE(CONTROL!$C$9, $C$13, 100%, $E$13) + CHOOSE(CONTROL!$C$28, 0.013, 0)</f>
        <v>21.436900000000001</v>
      </c>
      <c r="D191" s="4">
        <f>30.4972 * CHOOSE(CONTROL!$C$9, $C$13, 100%, $E$13) + CHOOSE(CONTROL!$C$28, 0, 0)</f>
        <v>30.497199999999999</v>
      </c>
      <c r="E191" s="4">
        <f>136.349151722677 * CHOOSE(CONTROL!$C$9, $C$13, 100%, $E$13) + CHOOSE(CONTROL!$C$28, 0, 0)</f>
        <v>136.34915172267699</v>
      </c>
    </row>
    <row r="192" spans="1:5" ht="15">
      <c r="A192" s="13">
        <v>47331</v>
      </c>
      <c r="B192" s="4">
        <f>22.2903 * CHOOSE(CONTROL!$C$9, $C$13, 100%, $E$13) + CHOOSE(CONTROL!$C$28, 0.013, 0)</f>
        <v>22.3033</v>
      </c>
      <c r="C192" s="4">
        <f>21.927 * CHOOSE(CONTROL!$C$9, $C$13, 100%, $E$13) + CHOOSE(CONTROL!$C$28, 0.013, 0)</f>
        <v>21.94</v>
      </c>
      <c r="D192" s="4">
        <f>30.1902 * CHOOSE(CONTROL!$C$9, $C$13, 100%, $E$13) + CHOOSE(CONTROL!$C$28, 0, 0)</f>
        <v>30.190200000000001</v>
      </c>
      <c r="E192" s="4">
        <f>139.613635867485 * CHOOSE(CONTROL!$C$9, $C$13, 100%, $E$13) + CHOOSE(CONTROL!$C$28, 0, 0)</f>
        <v>139.61363586748499</v>
      </c>
    </row>
    <row r="193" spans="1:5" ht="15">
      <c r="A193" s="13">
        <v>47362</v>
      </c>
      <c r="B193" s="4">
        <f>21.4328 * CHOOSE(CONTROL!$C$9, $C$13, 100%, $E$13) + CHOOSE(CONTROL!$C$28, 0.013, 0)</f>
        <v>21.445800000000002</v>
      </c>
      <c r="C193" s="4">
        <f>21.0695 * CHOOSE(CONTROL!$C$9, $C$13, 100%, $E$13) + CHOOSE(CONTROL!$C$28, 0.013, 0)</f>
        <v>21.082500000000003</v>
      </c>
      <c r="D193" s="4">
        <f>30.0451 * CHOOSE(CONTROL!$C$9, $C$13, 100%, $E$13) + CHOOSE(CONTROL!$C$28, 0, 0)</f>
        <v>30.045100000000001</v>
      </c>
      <c r="E193" s="4">
        <f>134.049913720354 * CHOOSE(CONTROL!$C$9, $C$13, 100%, $E$13) + CHOOSE(CONTROL!$C$28, 0, 0)</f>
        <v>134.049913720354</v>
      </c>
    </row>
    <row r="194" spans="1:5" ht="15">
      <c r="A194" s="13">
        <v>47392</v>
      </c>
      <c r="B194" s="4">
        <f>20.7464 * CHOOSE(CONTROL!$C$9, $C$13, 100%, $E$13) + CHOOSE(CONTROL!$C$28, 0.0003, 0)</f>
        <v>20.746700000000001</v>
      </c>
      <c r="C194" s="4">
        <f>20.3831 * CHOOSE(CONTROL!$C$9, $C$13, 100%, $E$13) + CHOOSE(CONTROL!$C$28, 0.0003, 0)</f>
        <v>20.383399999999998</v>
      </c>
      <c r="D194" s="4">
        <f>29.6566 * CHOOSE(CONTROL!$C$9, $C$13, 100%, $E$13) + CHOOSE(CONTROL!$C$28, 0, 0)</f>
        <v>29.656600000000001</v>
      </c>
      <c r="E194" s="4">
        <f>129.596043879376 * CHOOSE(CONTROL!$C$9, $C$13, 100%, $E$13) + CHOOSE(CONTROL!$C$28, 0, 0)</f>
        <v>129.596043879376</v>
      </c>
    </row>
    <row r="195" spans="1:5" ht="15">
      <c r="A195" s="13">
        <v>47423</v>
      </c>
      <c r="B195" s="4">
        <f>20.3043 * CHOOSE(CONTROL!$C$9, $C$13, 100%, $E$13) + CHOOSE(CONTROL!$C$28, 0.0003, 0)</f>
        <v>20.304600000000001</v>
      </c>
      <c r="C195" s="4">
        <f>19.941 * CHOOSE(CONTROL!$C$9, $C$13, 100%, $E$13) + CHOOSE(CONTROL!$C$28, 0.0003, 0)</f>
        <v>19.941299999999998</v>
      </c>
      <c r="D195" s="4">
        <f>29.523 * CHOOSE(CONTROL!$C$9, $C$13, 100%, $E$13) + CHOOSE(CONTROL!$C$28, 0, 0)</f>
        <v>29.523</v>
      </c>
      <c r="E195" s="4">
        <f>126.727419107609 * CHOOSE(CONTROL!$C$9, $C$13, 100%, $E$13) + CHOOSE(CONTROL!$C$28, 0, 0)</f>
        <v>126.72741910760899</v>
      </c>
    </row>
    <row r="196" spans="1:5" ht="15">
      <c r="A196" s="13">
        <v>47453</v>
      </c>
      <c r="B196" s="4">
        <f>19.9984 * CHOOSE(CONTROL!$C$9, $C$13, 100%, $E$13) + CHOOSE(CONTROL!$C$28, 0.0003, 0)</f>
        <v>19.998699999999999</v>
      </c>
      <c r="C196" s="4">
        <f>19.6351 * CHOOSE(CONTROL!$C$9, $C$13, 100%, $E$13) + CHOOSE(CONTROL!$C$28, 0.0003, 0)</f>
        <v>19.635400000000001</v>
      </c>
      <c r="D196" s="4">
        <f>28.5398 * CHOOSE(CONTROL!$C$9, $C$13, 100%, $E$13) + CHOOSE(CONTROL!$C$28, 0, 0)</f>
        <v>28.5398</v>
      </c>
      <c r="E196" s="4">
        <f>124.742699511264 * CHOOSE(CONTROL!$C$9, $C$13, 100%, $E$13) + CHOOSE(CONTROL!$C$28, 0, 0)</f>
        <v>124.74269951126399</v>
      </c>
    </row>
    <row r="197" spans="1:5" ht="15">
      <c r="A197" s="13">
        <v>47484</v>
      </c>
      <c r="B197" s="4">
        <f>19.4199 * CHOOSE(CONTROL!$C$9, $C$13, 100%, $E$13) + CHOOSE(CONTROL!$C$28, 0.0003, 0)</f>
        <v>19.420199999999998</v>
      </c>
      <c r="C197" s="4">
        <f>19.0566 * CHOOSE(CONTROL!$C$9, $C$13, 100%, $E$13) + CHOOSE(CONTROL!$C$28, 0.0003, 0)</f>
        <v>19.056899999999999</v>
      </c>
      <c r="D197" s="4">
        <f>27.6032 * CHOOSE(CONTROL!$C$9, $C$13, 100%, $E$13) + CHOOSE(CONTROL!$C$28, 0, 0)</f>
        <v>27.603200000000001</v>
      </c>
      <c r="E197" s="4">
        <f>120.945559154883 * CHOOSE(CONTROL!$C$9, $C$13, 100%, $E$13) + CHOOSE(CONTROL!$C$28, 0, 0)</f>
        <v>120.945559154883</v>
      </c>
    </row>
    <row r="198" spans="1:5" ht="15">
      <c r="A198" s="13">
        <v>47515</v>
      </c>
      <c r="B198" s="4">
        <f>19.8626 * CHOOSE(CONTROL!$C$9, $C$13, 100%, $E$13) + CHOOSE(CONTROL!$C$28, 0.0003, 0)</f>
        <v>19.8629</v>
      </c>
      <c r="C198" s="4">
        <f>19.4994 * CHOOSE(CONTROL!$C$9, $C$13, 100%, $E$13) + CHOOSE(CONTROL!$C$28, 0.0003, 0)</f>
        <v>19.499700000000001</v>
      </c>
      <c r="D198" s="4">
        <f>28.5121 * CHOOSE(CONTROL!$C$9, $C$13, 100%, $E$13) + CHOOSE(CONTROL!$C$28, 0, 0)</f>
        <v>28.5121</v>
      </c>
      <c r="E198" s="4">
        <f>123.817283364716 * CHOOSE(CONTROL!$C$9, $C$13, 100%, $E$13) + CHOOSE(CONTROL!$C$28, 0, 0)</f>
        <v>123.817283364716</v>
      </c>
    </row>
    <row r="199" spans="1:5" ht="15">
      <c r="A199" s="13">
        <v>47543</v>
      </c>
      <c r="B199" s="4">
        <f>21.0253 * CHOOSE(CONTROL!$C$9, $C$13, 100%, $E$13) + CHOOSE(CONTROL!$C$28, 0.0003, 0)</f>
        <v>21.025600000000001</v>
      </c>
      <c r="C199" s="4">
        <f>20.662 * CHOOSE(CONTROL!$C$9, $C$13, 100%, $E$13) + CHOOSE(CONTROL!$C$28, 0.0003, 0)</f>
        <v>20.662299999999998</v>
      </c>
      <c r="D199" s="4">
        <f>29.9349 * CHOOSE(CONTROL!$C$9, $C$13, 100%, $E$13) + CHOOSE(CONTROL!$C$28, 0, 0)</f>
        <v>29.934899999999999</v>
      </c>
      <c r="E199" s="4">
        <f>131.35858375243 * CHOOSE(CONTROL!$C$9, $C$13, 100%, $E$13) + CHOOSE(CONTROL!$C$28, 0, 0)</f>
        <v>131.35858375243001</v>
      </c>
    </row>
    <row r="200" spans="1:5" ht="15">
      <c r="A200" s="13">
        <v>47574</v>
      </c>
      <c r="B200" s="4">
        <f>21.8514 * CHOOSE(CONTROL!$C$9, $C$13, 100%, $E$13) + CHOOSE(CONTROL!$C$28, 0.0003, 0)</f>
        <v>21.851700000000001</v>
      </c>
      <c r="C200" s="4">
        <f>21.4881 * CHOOSE(CONTROL!$C$9, $C$13, 100%, $E$13) + CHOOSE(CONTROL!$C$28, 0.0003, 0)</f>
        <v>21.488399999999999</v>
      </c>
      <c r="D200" s="4">
        <f>30.7544 * CHOOSE(CONTROL!$C$9, $C$13, 100%, $E$13) + CHOOSE(CONTROL!$C$28, 0, 0)</f>
        <v>30.7544</v>
      </c>
      <c r="E200" s="4">
        <f>136.716778178942 * CHOOSE(CONTROL!$C$9, $C$13, 100%, $E$13) + CHOOSE(CONTROL!$C$28, 0, 0)</f>
        <v>136.71677817894201</v>
      </c>
    </row>
    <row r="201" spans="1:5" ht="15">
      <c r="A201" s="13">
        <v>47604</v>
      </c>
      <c r="B201" s="4">
        <f>22.3561 * CHOOSE(CONTROL!$C$9, $C$13, 100%, $E$13) + CHOOSE(CONTROL!$C$28, 0.013, 0)</f>
        <v>22.369100000000003</v>
      </c>
      <c r="C201" s="4">
        <f>21.9928 * CHOOSE(CONTROL!$C$9, $C$13, 100%, $E$13) + CHOOSE(CONTROL!$C$28, 0.013, 0)</f>
        <v>22.005800000000001</v>
      </c>
      <c r="D201" s="4">
        <f>30.4306 * CHOOSE(CONTROL!$C$9, $C$13, 100%, $E$13) + CHOOSE(CONTROL!$C$28, 0, 0)</f>
        <v>30.430599999999998</v>
      </c>
      <c r="E201" s="4">
        <f>139.990506555543 * CHOOSE(CONTROL!$C$9, $C$13, 100%, $E$13) + CHOOSE(CONTROL!$C$28, 0, 0)</f>
        <v>139.99050655554299</v>
      </c>
    </row>
    <row r="202" spans="1:5" ht="15">
      <c r="A202" s="13">
        <v>47635</v>
      </c>
      <c r="B202" s="4">
        <f>22.4244 * CHOOSE(CONTROL!$C$9, $C$13, 100%, $E$13) + CHOOSE(CONTROL!$C$28, 0.013, 0)</f>
        <v>22.4374</v>
      </c>
      <c r="C202" s="4">
        <f>22.0611 * CHOOSE(CONTROL!$C$9, $C$13, 100%, $E$13) + CHOOSE(CONTROL!$C$28, 0.013, 0)</f>
        <v>22.074100000000001</v>
      </c>
      <c r="D202" s="4">
        <f>30.6943 * CHOOSE(CONTROL!$C$9, $C$13, 100%, $E$13) + CHOOSE(CONTROL!$C$28, 0, 0)</f>
        <v>30.694299999999998</v>
      </c>
      <c r="E202" s="4">
        <f>140.433455591149 * CHOOSE(CONTROL!$C$9, $C$13, 100%, $E$13) + CHOOSE(CONTROL!$C$28, 0, 0)</f>
        <v>140.433455591149</v>
      </c>
    </row>
    <row r="203" spans="1:5" ht="15">
      <c r="A203" s="13">
        <v>47665</v>
      </c>
      <c r="B203" s="4">
        <f>22.4175 * CHOOSE(CONTROL!$C$9, $C$13, 100%, $E$13) + CHOOSE(CONTROL!$C$28, 0.013, 0)</f>
        <v>22.430500000000002</v>
      </c>
      <c r="C203" s="4">
        <f>22.0542 * CHOOSE(CONTROL!$C$9, $C$13, 100%, $E$13) + CHOOSE(CONTROL!$C$28, 0.013, 0)</f>
        <v>22.067200000000003</v>
      </c>
      <c r="D203" s="4">
        <f>31.1702 * CHOOSE(CONTROL!$C$9, $C$13, 100%, $E$13) + CHOOSE(CONTROL!$C$28, 0, 0)</f>
        <v>31.170200000000001</v>
      </c>
      <c r="E203" s="4">
        <f>140.388788461509 * CHOOSE(CONTROL!$C$9, $C$13, 100%, $E$13) + CHOOSE(CONTROL!$C$28, 0, 0)</f>
        <v>140.38878846150899</v>
      </c>
    </row>
    <row r="204" spans="1:5" ht="15">
      <c r="A204" s="13">
        <v>47696</v>
      </c>
      <c r="B204" s="4">
        <f>22.9357 * CHOOSE(CONTROL!$C$9, $C$13, 100%, $E$13) + CHOOSE(CONTROL!$C$28, 0.013, 0)</f>
        <v>22.948700000000002</v>
      </c>
      <c r="C204" s="4">
        <f>22.5724 * CHOOSE(CONTROL!$C$9, $C$13, 100%, $E$13) + CHOOSE(CONTROL!$C$28, 0.013, 0)</f>
        <v>22.5854</v>
      </c>
      <c r="D204" s="4">
        <f>30.8559 * CHOOSE(CONTROL!$C$9, $C$13, 100%, $E$13) + CHOOSE(CONTROL!$C$28, 0, 0)</f>
        <v>30.855899999999998</v>
      </c>
      <c r="E204" s="4">
        <f>143.74998996699 * CHOOSE(CONTROL!$C$9, $C$13, 100%, $E$13) + CHOOSE(CONTROL!$C$28, 0, 0)</f>
        <v>143.74998996699</v>
      </c>
    </row>
    <row r="205" spans="1:5" ht="15">
      <c r="A205" s="13">
        <v>47727</v>
      </c>
      <c r="B205" s="4">
        <f>22.0525 * CHOOSE(CONTROL!$C$9, $C$13, 100%, $E$13) + CHOOSE(CONTROL!$C$28, 0.013, 0)</f>
        <v>22.0655</v>
      </c>
      <c r="C205" s="4">
        <f>21.6892 * CHOOSE(CONTROL!$C$9, $C$13, 100%, $E$13) + CHOOSE(CONTROL!$C$28, 0.013, 0)</f>
        <v>21.702200000000001</v>
      </c>
      <c r="D205" s="4">
        <f>30.7074 * CHOOSE(CONTROL!$C$9, $C$13, 100%, $E$13) + CHOOSE(CONTROL!$C$28, 0, 0)</f>
        <v>30.7074</v>
      </c>
      <c r="E205" s="4">
        <f>138.021430590538 * CHOOSE(CONTROL!$C$9, $C$13, 100%, $E$13) + CHOOSE(CONTROL!$C$28, 0, 0)</f>
        <v>138.02143059053799</v>
      </c>
    </row>
    <row r="206" spans="1:5" ht="15">
      <c r="A206" s="13">
        <v>47757</v>
      </c>
      <c r="B206" s="4">
        <f>21.3455 * CHOOSE(CONTROL!$C$9, $C$13, 100%, $E$13) + CHOOSE(CONTROL!$C$28, 0.0003, 0)</f>
        <v>21.345800000000001</v>
      </c>
      <c r="C206" s="4">
        <f>20.9822 * CHOOSE(CONTROL!$C$9, $C$13, 100%, $E$13) + CHOOSE(CONTROL!$C$28, 0.0003, 0)</f>
        <v>20.982499999999998</v>
      </c>
      <c r="D206" s="4">
        <f>30.3098 * CHOOSE(CONTROL!$C$9, $C$13, 100%, $E$13) + CHOOSE(CONTROL!$C$28, 0, 0)</f>
        <v>30.309799999999999</v>
      </c>
      <c r="E206" s="4">
        <f>133.435605280734 * CHOOSE(CONTROL!$C$9, $C$13, 100%, $E$13) + CHOOSE(CONTROL!$C$28, 0, 0)</f>
        <v>133.43560528073399</v>
      </c>
    </row>
    <row r="207" spans="1:5" ht="15">
      <c r="A207" s="13">
        <v>47788</v>
      </c>
      <c r="B207" s="4">
        <f>20.8902 * CHOOSE(CONTROL!$C$9, $C$13, 100%, $E$13) + CHOOSE(CONTROL!$C$28, 0.0003, 0)</f>
        <v>20.890499999999999</v>
      </c>
      <c r="C207" s="4">
        <f>20.5269 * CHOOSE(CONTROL!$C$9, $C$13, 100%, $E$13) + CHOOSE(CONTROL!$C$28, 0.0003, 0)</f>
        <v>20.527200000000001</v>
      </c>
      <c r="D207" s="4">
        <f>30.1731 * CHOOSE(CONTROL!$C$9, $C$13, 100%, $E$13) + CHOOSE(CONTROL!$C$28, 0, 0)</f>
        <v>30.173100000000002</v>
      </c>
      <c r="E207" s="4">
        <f>130.481991333226 * CHOOSE(CONTROL!$C$9, $C$13, 100%, $E$13) + CHOOSE(CONTROL!$C$28, 0, 0)</f>
        <v>130.48199133322601</v>
      </c>
    </row>
    <row r="208" spans="1:5" ht="15">
      <c r="A208" s="13">
        <v>47818</v>
      </c>
      <c r="B208" s="4">
        <f>20.5751 * CHOOSE(CONTROL!$C$9, $C$13, 100%, $E$13) + CHOOSE(CONTROL!$C$28, 0.0003, 0)</f>
        <v>20.575399999999998</v>
      </c>
      <c r="C208" s="4">
        <f>20.2118 * CHOOSE(CONTROL!$C$9, $C$13, 100%, $E$13) + CHOOSE(CONTROL!$C$28, 0.0003, 0)</f>
        <v>20.2121</v>
      </c>
      <c r="D208" s="4">
        <f>29.1668 * CHOOSE(CONTROL!$C$9, $C$13, 100%, $E$13) + CHOOSE(CONTROL!$C$28, 0, 0)</f>
        <v>29.166799999999999</v>
      </c>
      <c r="E208" s="4">
        <f>128.438470152152 * CHOOSE(CONTROL!$C$9, $C$13, 100%, $E$13) + CHOOSE(CONTROL!$C$28, 0, 0)</f>
        <v>128.43847015215201</v>
      </c>
    </row>
    <row r="209" spans="1:5" ht="15">
      <c r="A209" s="13">
        <v>47849</v>
      </c>
      <c r="B209" s="4">
        <f>20.0969 * CHOOSE(CONTROL!$C$9, $C$13, 100%, $E$13) + CHOOSE(CONTROL!$C$28, 0.0003, 0)</f>
        <v>20.097200000000001</v>
      </c>
      <c r="C209" s="4">
        <f>19.7336 * CHOOSE(CONTROL!$C$9, $C$13, 100%, $E$13) + CHOOSE(CONTROL!$C$28, 0.0003, 0)</f>
        <v>19.733899999999998</v>
      </c>
      <c r="D209" s="4">
        <f>28.3552 * CHOOSE(CONTROL!$C$9, $C$13, 100%, $E$13) + CHOOSE(CONTROL!$C$28, 0, 0)</f>
        <v>28.3552</v>
      </c>
      <c r="E209" s="4">
        <f>125.328013938627 * CHOOSE(CONTROL!$C$9, $C$13, 100%, $E$13) + CHOOSE(CONTROL!$C$28, 0, 0)</f>
        <v>125.328013938627</v>
      </c>
    </row>
    <row r="210" spans="1:5" ht="15">
      <c r="A210" s="13">
        <v>47880</v>
      </c>
      <c r="B210" s="4">
        <f>20.5557 * CHOOSE(CONTROL!$C$9, $C$13, 100%, $E$13) + CHOOSE(CONTROL!$C$28, 0.0003, 0)</f>
        <v>20.556000000000001</v>
      </c>
      <c r="C210" s="4">
        <f>20.1925 * CHOOSE(CONTROL!$C$9, $C$13, 100%, $E$13) + CHOOSE(CONTROL!$C$28, 0.0003, 0)</f>
        <v>20.192799999999998</v>
      </c>
      <c r="D210" s="4">
        <f>29.2906 * CHOOSE(CONTROL!$C$9, $C$13, 100%, $E$13) + CHOOSE(CONTROL!$C$28, 0, 0)</f>
        <v>29.290600000000001</v>
      </c>
      <c r="E210" s="4">
        <f>128.303794895884 * CHOOSE(CONTROL!$C$9, $C$13, 100%, $E$13) + CHOOSE(CONTROL!$C$28, 0, 0)</f>
        <v>128.30379489588401</v>
      </c>
    </row>
    <row r="211" spans="1:5" ht="15">
      <c r="A211" s="13">
        <v>47908</v>
      </c>
      <c r="B211" s="4">
        <f>21.7606 * CHOOSE(CONTROL!$C$9, $C$13, 100%, $E$13) + CHOOSE(CONTROL!$C$28, 0.0003, 0)</f>
        <v>21.760899999999999</v>
      </c>
      <c r="C211" s="4">
        <f>21.3973 * CHOOSE(CONTROL!$C$9, $C$13, 100%, $E$13) + CHOOSE(CONTROL!$C$28, 0.0003, 0)</f>
        <v>21.397600000000001</v>
      </c>
      <c r="D211" s="4">
        <f>30.7549 * CHOOSE(CONTROL!$C$9, $C$13, 100%, $E$13) + CHOOSE(CONTROL!$C$28, 0, 0)</f>
        <v>30.754899999999999</v>
      </c>
      <c r="E211" s="4">
        <f>136.118353832243 * CHOOSE(CONTROL!$C$9, $C$13, 100%, $E$13) + CHOOSE(CONTROL!$C$28, 0, 0)</f>
        <v>136.118353832243</v>
      </c>
    </row>
    <row r="212" spans="1:5" ht="15">
      <c r="A212" s="13">
        <v>47939</v>
      </c>
      <c r="B212" s="4">
        <f>22.6167 * CHOOSE(CONTROL!$C$9, $C$13, 100%, $E$13) + CHOOSE(CONTROL!$C$28, 0.0003, 0)</f>
        <v>22.617000000000001</v>
      </c>
      <c r="C212" s="4">
        <f>22.2534 * CHOOSE(CONTROL!$C$9, $C$13, 100%, $E$13) + CHOOSE(CONTROL!$C$28, 0.0003, 0)</f>
        <v>22.253699999999998</v>
      </c>
      <c r="D212" s="4">
        <f>31.5984 * CHOOSE(CONTROL!$C$9, $C$13, 100%, $E$13) + CHOOSE(CONTROL!$C$28, 0, 0)</f>
        <v>31.598400000000002</v>
      </c>
      <c r="E212" s="4">
        <f>141.670702099217 * CHOOSE(CONTROL!$C$9, $C$13, 100%, $E$13) + CHOOSE(CONTROL!$C$28, 0, 0)</f>
        <v>141.67070209921701</v>
      </c>
    </row>
    <row r="213" spans="1:5" ht="15">
      <c r="A213" s="13">
        <v>47969</v>
      </c>
      <c r="B213" s="4">
        <f>23.1397 * CHOOSE(CONTROL!$C$9, $C$13, 100%, $E$13) + CHOOSE(CONTROL!$C$28, 0.013, 0)</f>
        <v>23.152700000000003</v>
      </c>
      <c r="C213" s="4">
        <f>22.7765 * CHOOSE(CONTROL!$C$9, $C$13, 100%, $E$13) + CHOOSE(CONTROL!$C$28, 0.013, 0)</f>
        <v>22.7895</v>
      </c>
      <c r="D213" s="4">
        <f>31.2651 * CHOOSE(CONTROL!$C$9, $C$13, 100%, $E$13) + CHOOSE(CONTROL!$C$28, 0, 0)</f>
        <v>31.2651</v>
      </c>
      <c r="E213" s="4">
        <f>145.063053819123 * CHOOSE(CONTROL!$C$9, $C$13, 100%, $E$13) + CHOOSE(CONTROL!$C$28, 0, 0)</f>
        <v>145.06305381912301</v>
      </c>
    </row>
    <row r="214" spans="1:5" ht="15">
      <c r="A214" s="13">
        <v>48000</v>
      </c>
      <c r="B214" s="4">
        <f>23.2105 * CHOOSE(CONTROL!$C$9, $C$13, 100%, $E$13) + CHOOSE(CONTROL!$C$28, 0.013, 0)</f>
        <v>23.223500000000001</v>
      </c>
      <c r="C214" s="4">
        <f>22.8472 * CHOOSE(CONTROL!$C$9, $C$13, 100%, $E$13) + CHOOSE(CONTROL!$C$28, 0.013, 0)</f>
        <v>22.860200000000003</v>
      </c>
      <c r="D214" s="4">
        <f>31.5366 * CHOOSE(CONTROL!$C$9, $C$13, 100%, $E$13) + CHOOSE(CONTROL!$C$28, 0, 0)</f>
        <v>31.5366</v>
      </c>
      <c r="E214" s="4">
        <f>145.522053085375 * CHOOSE(CONTROL!$C$9, $C$13, 100%, $E$13) + CHOOSE(CONTROL!$C$28, 0, 0)</f>
        <v>145.52205308537501</v>
      </c>
    </row>
    <row r="215" spans="1:5" ht="15">
      <c r="A215" s="13">
        <v>48030</v>
      </c>
      <c r="B215" s="4">
        <f>23.2034 * CHOOSE(CONTROL!$C$9, $C$13, 100%, $E$13) + CHOOSE(CONTROL!$C$28, 0.013, 0)</f>
        <v>23.2164</v>
      </c>
      <c r="C215" s="4">
        <f>22.8401 * CHOOSE(CONTROL!$C$9, $C$13, 100%, $E$13) + CHOOSE(CONTROL!$C$28, 0.013, 0)</f>
        <v>22.853100000000001</v>
      </c>
      <c r="D215" s="4">
        <f>32.0264 * CHOOSE(CONTROL!$C$9, $C$13, 100%, $E$13) + CHOOSE(CONTROL!$C$28, 0, 0)</f>
        <v>32.026400000000002</v>
      </c>
      <c r="E215" s="4">
        <f>145.47576744508 * CHOOSE(CONTROL!$C$9, $C$13, 100%, $E$13) + CHOOSE(CONTROL!$C$28, 0, 0)</f>
        <v>145.47576744508001</v>
      </c>
    </row>
    <row r="216" spans="1:5" ht="15">
      <c r="A216" s="13">
        <v>48061</v>
      </c>
      <c r="B216" s="4">
        <f>23.7404 * CHOOSE(CONTROL!$C$9, $C$13, 100%, $E$13) + CHOOSE(CONTROL!$C$28, 0.013, 0)</f>
        <v>23.753400000000003</v>
      </c>
      <c r="C216" s="4">
        <f>23.3771 * CHOOSE(CONTROL!$C$9, $C$13, 100%, $E$13) + CHOOSE(CONTROL!$C$28, 0.013, 0)</f>
        <v>23.3901</v>
      </c>
      <c r="D216" s="4">
        <f>31.7029 * CHOOSE(CONTROL!$C$9, $C$13, 100%, $E$13) + CHOOSE(CONTROL!$C$28, 0, 0)</f>
        <v>31.7029</v>
      </c>
      <c r="E216" s="4">
        <f>148.958761877229 * CHOOSE(CONTROL!$C$9, $C$13, 100%, $E$13) + CHOOSE(CONTROL!$C$28, 0, 0)</f>
        <v>148.95876187722899</v>
      </c>
    </row>
    <row r="217" spans="1:5" ht="15">
      <c r="A217" s="13">
        <v>48092</v>
      </c>
      <c r="B217" s="4">
        <f>22.8251 * CHOOSE(CONTROL!$C$9, $C$13, 100%, $E$13) + CHOOSE(CONTROL!$C$28, 0.013, 0)</f>
        <v>22.838100000000001</v>
      </c>
      <c r="C217" s="4">
        <f>22.4619 * CHOOSE(CONTROL!$C$9, $C$13, 100%, $E$13) + CHOOSE(CONTROL!$C$28, 0.013, 0)</f>
        <v>22.474900000000002</v>
      </c>
      <c r="D217" s="4">
        <f>31.5501 * CHOOSE(CONTROL!$C$9, $C$13, 100%, $E$13) + CHOOSE(CONTROL!$C$28, 0, 0)</f>
        <v>31.5501</v>
      </c>
      <c r="E217" s="4">
        <f>143.022628509481 * CHOOSE(CONTROL!$C$9, $C$13, 100%, $E$13) + CHOOSE(CONTROL!$C$28, 0, 0)</f>
        <v>143.022628509481</v>
      </c>
    </row>
    <row r="218" spans="1:5" ht="15">
      <c r="A218" s="13">
        <v>48122</v>
      </c>
      <c r="B218" s="4">
        <f>22.0925 * CHOOSE(CONTROL!$C$9, $C$13, 100%, $E$13) + CHOOSE(CONTROL!$C$28, 0.0003, 0)</f>
        <v>22.0928</v>
      </c>
      <c r="C218" s="4">
        <f>21.7292 * CHOOSE(CONTROL!$C$9, $C$13, 100%, $E$13) + CHOOSE(CONTROL!$C$28, 0.0003, 0)</f>
        <v>21.729499999999998</v>
      </c>
      <c r="D218" s="4">
        <f>31.1409 * CHOOSE(CONTROL!$C$9, $C$13, 100%, $E$13) + CHOOSE(CONTROL!$C$28, 0, 0)</f>
        <v>31.140899999999998</v>
      </c>
      <c r="E218" s="4">
        <f>138.27063610593 * CHOOSE(CONTROL!$C$9, $C$13, 100%, $E$13) + CHOOSE(CONTROL!$C$28, 0, 0)</f>
        <v>138.27063610593001</v>
      </c>
    </row>
    <row r="219" spans="1:5" ht="15">
      <c r="A219" s="13">
        <v>48153</v>
      </c>
      <c r="B219" s="4">
        <f>21.6206 * CHOOSE(CONTROL!$C$9, $C$13, 100%, $E$13) + CHOOSE(CONTROL!$C$28, 0.0003, 0)</f>
        <v>21.620899999999999</v>
      </c>
      <c r="C219" s="4">
        <f>21.2573 * CHOOSE(CONTROL!$C$9, $C$13, 100%, $E$13) + CHOOSE(CONTROL!$C$28, 0.0003, 0)</f>
        <v>21.2576</v>
      </c>
      <c r="D219" s="4">
        <f>31.0002 * CHOOSE(CONTROL!$C$9, $C$13, 100%, $E$13) + CHOOSE(CONTROL!$C$28, 0, 0)</f>
        <v>31.0002</v>
      </c>
      <c r="E219" s="4">
        <f>135.209998141467 * CHOOSE(CONTROL!$C$9, $C$13, 100%, $E$13) + CHOOSE(CONTROL!$C$28, 0, 0)</f>
        <v>135.209998141467</v>
      </c>
    </row>
    <row r="220" spans="1:5" ht="15">
      <c r="A220" s="13">
        <v>48183</v>
      </c>
      <c r="B220" s="4">
        <f>21.2941 * CHOOSE(CONTROL!$C$9, $C$13, 100%, $E$13) + CHOOSE(CONTROL!$C$28, 0.0003, 0)</f>
        <v>21.2944</v>
      </c>
      <c r="C220" s="4">
        <f>20.9308 * CHOOSE(CONTROL!$C$9, $C$13, 100%, $E$13) + CHOOSE(CONTROL!$C$28, 0.0003, 0)</f>
        <v>20.931100000000001</v>
      </c>
      <c r="D220" s="4">
        <f>29.9644 * CHOOSE(CONTROL!$C$9, $C$13, 100%, $E$13) + CHOOSE(CONTROL!$C$28, 0, 0)</f>
        <v>29.964400000000001</v>
      </c>
      <c r="E220" s="4">
        <f>133.092430098001 * CHOOSE(CONTROL!$C$9, $C$13, 100%, $E$13) + CHOOSE(CONTROL!$C$28, 0, 0)</f>
        <v>133.09243009800099</v>
      </c>
    </row>
    <row r="221" spans="1:5" ht="15">
      <c r="A221" s="13">
        <v>48214</v>
      </c>
      <c r="B221" s="4">
        <f>20.7881 * CHOOSE(CONTROL!$C$9, $C$13, 100%, $E$13) + CHOOSE(CONTROL!$C$28, 0.0003, 0)</f>
        <v>20.788399999999999</v>
      </c>
      <c r="C221" s="4">
        <f>20.4248 * CHOOSE(CONTROL!$C$9, $C$13, 100%, $E$13) + CHOOSE(CONTROL!$C$28, 0.0003, 0)</f>
        <v>20.4251</v>
      </c>
      <c r="D221" s="4">
        <f>29.1072 * CHOOSE(CONTROL!$C$9, $C$13, 100%, $E$13) + CHOOSE(CONTROL!$C$28, 0, 0)</f>
        <v>29.107199999999999</v>
      </c>
      <c r="E221" s="4">
        <f>129.710069271808 * CHOOSE(CONTROL!$C$9, $C$13, 100%, $E$13) + CHOOSE(CONTROL!$C$28, 0, 0)</f>
        <v>129.71006927180801</v>
      </c>
    </row>
    <row r="222" spans="1:5" ht="15">
      <c r="A222" s="13">
        <v>48245</v>
      </c>
      <c r="B222" s="4">
        <f>21.2633 * CHOOSE(CONTROL!$C$9, $C$13, 100%, $E$13) + CHOOSE(CONTROL!$C$28, 0.0003, 0)</f>
        <v>21.2636</v>
      </c>
      <c r="C222" s="4">
        <f>20.9 * CHOOSE(CONTROL!$C$9, $C$13, 100%, $E$13) + CHOOSE(CONTROL!$C$28, 0.0003, 0)</f>
        <v>20.900299999999998</v>
      </c>
      <c r="D222" s="4">
        <f>30.0692 * CHOOSE(CONTROL!$C$9, $C$13, 100%, $E$13) + CHOOSE(CONTROL!$C$28, 0, 0)</f>
        <v>30.069199999999999</v>
      </c>
      <c r="E222" s="4">
        <f>132.789897491957 * CHOOSE(CONTROL!$C$9, $C$13, 100%, $E$13) + CHOOSE(CONTROL!$C$28, 0, 0)</f>
        <v>132.78989749195699</v>
      </c>
    </row>
    <row r="223" spans="1:5" ht="15">
      <c r="A223" s="13">
        <v>48274</v>
      </c>
      <c r="B223" s="4">
        <f>22.5113 * CHOOSE(CONTROL!$C$9, $C$13, 100%, $E$13) + CHOOSE(CONTROL!$C$28, 0.0003, 0)</f>
        <v>22.511599999999998</v>
      </c>
      <c r="C223" s="4">
        <f>22.148 * CHOOSE(CONTROL!$C$9, $C$13, 100%, $E$13) + CHOOSE(CONTROL!$C$28, 0.0003, 0)</f>
        <v>22.148299999999999</v>
      </c>
      <c r="D223" s="4">
        <f>31.575 * CHOOSE(CONTROL!$C$9, $C$13, 100%, $E$13) + CHOOSE(CONTROL!$C$28, 0, 0)</f>
        <v>31.574999999999999</v>
      </c>
      <c r="E223" s="4">
        <f>140.877690070081 * CHOOSE(CONTROL!$C$9, $C$13, 100%, $E$13) + CHOOSE(CONTROL!$C$28, 0, 0)</f>
        <v>140.877690070081</v>
      </c>
    </row>
    <row r="224" spans="1:5" ht="15">
      <c r="A224" s="13">
        <v>48305</v>
      </c>
      <c r="B224" s="4">
        <f>23.398 * CHOOSE(CONTROL!$C$9, $C$13, 100%, $E$13) + CHOOSE(CONTROL!$C$28, 0.0003, 0)</f>
        <v>23.398299999999999</v>
      </c>
      <c r="C224" s="4">
        <f>23.0347 * CHOOSE(CONTROL!$C$9, $C$13, 100%, $E$13) + CHOOSE(CONTROL!$C$28, 0.0003, 0)</f>
        <v>23.035</v>
      </c>
      <c r="D224" s="4">
        <f>32.4425 * CHOOSE(CONTROL!$C$9, $C$13, 100%, $E$13) + CHOOSE(CONTROL!$C$28, 0, 0)</f>
        <v>32.442500000000003</v>
      </c>
      <c r="E224" s="4">
        <f>146.624174480845 * CHOOSE(CONTROL!$C$9, $C$13, 100%, $E$13) + CHOOSE(CONTROL!$C$28, 0, 0)</f>
        <v>146.624174480845</v>
      </c>
    </row>
    <row r="225" spans="1:5" ht="15">
      <c r="A225" s="13">
        <v>48335</v>
      </c>
      <c r="B225" s="4">
        <f>23.9397 * CHOOSE(CONTROL!$C$9, $C$13, 100%, $E$13) + CHOOSE(CONTROL!$C$28, 0.013, 0)</f>
        <v>23.9527</v>
      </c>
      <c r="C225" s="4">
        <f>23.5764 * CHOOSE(CONTROL!$C$9, $C$13, 100%, $E$13) + CHOOSE(CONTROL!$C$28, 0.013, 0)</f>
        <v>23.589400000000001</v>
      </c>
      <c r="D225" s="4">
        <f>32.0997 * CHOOSE(CONTROL!$C$9, $C$13, 100%, $E$13) + CHOOSE(CONTROL!$C$28, 0, 0)</f>
        <v>32.099699999999999</v>
      </c>
      <c r="E225" s="4">
        <f>150.135138731813 * CHOOSE(CONTROL!$C$9, $C$13, 100%, $E$13) + CHOOSE(CONTROL!$C$28, 0, 0)</f>
        <v>150.13513873181299</v>
      </c>
    </row>
    <row r="226" spans="1:5" ht="15">
      <c r="A226" s="13">
        <v>48366</v>
      </c>
      <c r="B226" s="4">
        <f>24.013 * CHOOSE(CONTROL!$C$9, $C$13, 100%, $E$13) + CHOOSE(CONTROL!$C$28, 0.013, 0)</f>
        <v>24.026000000000003</v>
      </c>
      <c r="C226" s="4">
        <f>23.6497 * CHOOSE(CONTROL!$C$9, $C$13, 100%, $E$13) + CHOOSE(CONTROL!$C$28, 0.013, 0)</f>
        <v>23.662700000000001</v>
      </c>
      <c r="D226" s="4">
        <f>32.3788 * CHOOSE(CONTROL!$C$9, $C$13, 100%, $E$13) + CHOOSE(CONTROL!$C$28, 0, 0)</f>
        <v>32.378799999999998</v>
      </c>
      <c r="E226" s="4">
        <f>150.610186765769 * CHOOSE(CONTROL!$C$9, $C$13, 100%, $E$13) + CHOOSE(CONTROL!$C$28, 0, 0)</f>
        <v>150.61018676576899</v>
      </c>
    </row>
    <row r="227" spans="1:5" ht="15">
      <c r="A227" s="13">
        <v>48396</v>
      </c>
      <c r="B227" s="4">
        <f>24.0056 * CHOOSE(CONTROL!$C$9, $C$13, 100%, $E$13) + CHOOSE(CONTROL!$C$28, 0.013, 0)</f>
        <v>24.018600000000003</v>
      </c>
      <c r="C227" s="4">
        <f>23.6423 * CHOOSE(CONTROL!$C$9, $C$13, 100%, $E$13) + CHOOSE(CONTROL!$C$28, 0.013, 0)</f>
        <v>23.6553</v>
      </c>
      <c r="D227" s="4">
        <f>32.8825 * CHOOSE(CONTROL!$C$9, $C$13, 100%, $E$13) + CHOOSE(CONTROL!$C$28, 0, 0)</f>
        <v>32.8825</v>
      </c>
      <c r="E227" s="4">
        <f>150.562282762345 * CHOOSE(CONTROL!$C$9, $C$13, 100%, $E$13) + CHOOSE(CONTROL!$C$28, 0, 0)</f>
        <v>150.56228276234501</v>
      </c>
    </row>
    <row r="228" spans="1:5" ht="15">
      <c r="A228" s="13">
        <v>48427</v>
      </c>
      <c r="B228" s="4">
        <f>24.5618 * CHOOSE(CONTROL!$C$9, $C$13, 100%, $E$13) + CHOOSE(CONTROL!$C$28, 0.013, 0)</f>
        <v>24.574800000000003</v>
      </c>
      <c r="C228" s="4">
        <f>24.1986 * CHOOSE(CONTROL!$C$9, $C$13, 100%, $E$13) + CHOOSE(CONTROL!$C$28, 0.013, 0)</f>
        <v>24.211600000000001</v>
      </c>
      <c r="D228" s="4">
        <f>32.5499 * CHOOSE(CONTROL!$C$9, $C$13, 100%, $E$13) + CHOOSE(CONTROL!$C$28, 0, 0)</f>
        <v>32.549900000000001</v>
      </c>
      <c r="E228" s="4">
        <f>154.167059020018 * CHOOSE(CONTROL!$C$9, $C$13, 100%, $E$13) + CHOOSE(CONTROL!$C$28, 0, 0)</f>
        <v>154.167059020018</v>
      </c>
    </row>
    <row r="229" spans="1:5" ht="15">
      <c r="A229" s="13">
        <v>48458</v>
      </c>
      <c r="B229" s="4">
        <f>23.6139 * CHOOSE(CONTROL!$C$9, $C$13, 100%, $E$13) + CHOOSE(CONTROL!$C$28, 0.013, 0)</f>
        <v>23.626900000000003</v>
      </c>
      <c r="C229" s="4">
        <f>23.2506 * CHOOSE(CONTROL!$C$9, $C$13, 100%, $E$13) + CHOOSE(CONTROL!$C$28, 0.013, 0)</f>
        <v>23.2636</v>
      </c>
      <c r="D229" s="4">
        <f>32.3927 * CHOOSE(CONTROL!$C$9, $C$13, 100%, $E$13) + CHOOSE(CONTROL!$C$28, 0, 0)</f>
        <v>32.392699999999998</v>
      </c>
      <c r="E229" s="4">
        <f>148.023370580861 * CHOOSE(CONTROL!$C$9, $C$13, 100%, $E$13) + CHOOSE(CONTROL!$C$28, 0, 0)</f>
        <v>148.02337058086101</v>
      </c>
    </row>
    <row r="230" spans="1:5" ht="15">
      <c r="A230" s="13">
        <v>48488</v>
      </c>
      <c r="B230" s="4">
        <f>22.855 * CHOOSE(CONTROL!$C$9, $C$13, 100%, $E$13) + CHOOSE(CONTROL!$C$28, 0.0003, 0)</f>
        <v>22.8553</v>
      </c>
      <c r="C230" s="4">
        <f>22.4917 * CHOOSE(CONTROL!$C$9, $C$13, 100%, $E$13) + CHOOSE(CONTROL!$C$28, 0.0003, 0)</f>
        <v>22.492000000000001</v>
      </c>
      <c r="D230" s="4">
        <f>31.9719 * CHOOSE(CONTROL!$C$9, $C$13, 100%, $E$13) + CHOOSE(CONTROL!$C$28, 0, 0)</f>
        <v>31.971900000000002</v>
      </c>
      <c r="E230" s="4">
        <f>143.105226229307 * CHOOSE(CONTROL!$C$9, $C$13, 100%, $E$13) + CHOOSE(CONTROL!$C$28, 0, 0)</f>
        <v>143.10522622930699</v>
      </c>
    </row>
    <row r="231" spans="1:5" ht="15">
      <c r="A231" s="13">
        <v>48519</v>
      </c>
      <c r="B231" s="4">
        <f>22.3662 * CHOOSE(CONTROL!$C$9, $C$13, 100%, $E$13) + CHOOSE(CONTROL!$C$28, 0.0003, 0)</f>
        <v>22.366499999999998</v>
      </c>
      <c r="C231" s="4">
        <f>22.0029 * CHOOSE(CONTROL!$C$9, $C$13, 100%, $E$13) + CHOOSE(CONTROL!$C$28, 0.0003, 0)</f>
        <v>22.0032</v>
      </c>
      <c r="D231" s="4">
        <f>31.8272 * CHOOSE(CONTROL!$C$9, $C$13, 100%, $E$13) + CHOOSE(CONTROL!$C$28, 0, 0)</f>
        <v>31.827200000000001</v>
      </c>
      <c r="E231" s="4">
        <f>139.93757400288 * CHOOSE(CONTROL!$C$9, $C$13, 100%, $E$13) + CHOOSE(CONTROL!$C$28, 0, 0)</f>
        <v>139.93757400288001</v>
      </c>
    </row>
    <row r="232" spans="1:5" ht="15">
      <c r="A232" s="13">
        <v>48549</v>
      </c>
      <c r="B232" s="4">
        <f>22.028 * CHOOSE(CONTROL!$C$9, $C$13, 100%, $E$13) + CHOOSE(CONTROL!$C$28, 0.0003, 0)</f>
        <v>22.028299999999998</v>
      </c>
      <c r="C232" s="4">
        <f>21.6647 * CHOOSE(CONTROL!$C$9, $C$13, 100%, $E$13) + CHOOSE(CONTROL!$C$28, 0.0003, 0)</f>
        <v>21.664999999999999</v>
      </c>
      <c r="D232" s="4">
        <f>30.7621 * CHOOSE(CONTROL!$C$9, $C$13, 100%, $E$13) + CHOOSE(CONTROL!$C$28, 0, 0)</f>
        <v>30.7621</v>
      </c>
      <c r="E232" s="4">
        <f>137.745965846222 * CHOOSE(CONTROL!$C$9, $C$13, 100%, $E$13) + CHOOSE(CONTROL!$C$28, 0, 0)</f>
        <v>137.74596584622199</v>
      </c>
    </row>
    <row r="233" spans="1:5" ht="15">
      <c r="A233" s="13">
        <v>48580</v>
      </c>
      <c r="B233" s="4">
        <f>21.4792 * CHOOSE(CONTROL!$C$9, $C$13, 100%, $E$13) + CHOOSE(CONTROL!$C$28, 0.0003, 0)</f>
        <v>21.479499999999998</v>
      </c>
      <c r="C233" s="4">
        <f>21.1159 * CHOOSE(CONTROL!$C$9, $C$13, 100%, $E$13) + CHOOSE(CONTROL!$C$28, 0.0003, 0)</f>
        <v>21.116199999999999</v>
      </c>
      <c r="D233" s="4">
        <f>29.8592 * CHOOSE(CONTROL!$C$9, $C$13, 100%, $E$13) + CHOOSE(CONTROL!$C$28, 0, 0)</f>
        <v>29.859200000000001</v>
      </c>
      <c r="E233" s="4">
        <f>134.091697606109 * CHOOSE(CONTROL!$C$9, $C$13, 100%, $E$13) + CHOOSE(CONTROL!$C$28, 0, 0)</f>
        <v>134.09169760610899</v>
      </c>
    </row>
    <row r="234" spans="1:5" ht="15">
      <c r="A234" s="13">
        <v>48611</v>
      </c>
      <c r="B234" s="4">
        <f>21.9708 * CHOOSE(CONTROL!$C$9, $C$13, 100%, $E$13) + CHOOSE(CONTROL!$C$28, 0.0003, 0)</f>
        <v>21.9711</v>
      </c>
      <c r="C234" s="4">
        <f>21.6075 * CHOOSE(CONTROL!$C$9, $C$13, 100%, $E$13) + CHOOSE(CONTROL!$C$28, 0.0003, 0)</f>
        <v>21.607800000000001</v>
      </c>
      <c r="D234" s="4">
        <f>30.8477 * CHOOSE(CONTROL!$C$9, $C$13, 100%, $E$13) + CHOOSE(CONTROL!$C$28, 0, 0)</f>
        <v>30.8477</v>
      </c>
      <c r="E234" s="4">
        <f>137.275562950515 * CHOOSE(CONTROL!$C$9, $C$13, 100%, $E$13) + CHOOSE(CONTROL!$C$28, 0, 0)</f>
        <v>137.275562950515</v>
      </c>
    </row>
    <row r="235" spans="1:5" ht="15">
      <c r="A235" s="13">
        <v>48639</v>
      </c>
      <c r="B235" s="4">
        <f>23.2619 * CHOOSE(CONTROL!$C$9, $C$13, 100%, $E$13) + CHOOSE(CONTROL!$C$28, 0.0003, 0)</f>
        <v>23.2622</v>
      </c>
      <c r="C235" s="4">
        <f>22.8986 * CHOOSE(CONTROL!$C$9, $C$13, 100%, $E$13) + CHOOSE(CONTROL!$C$28, 0.0003, 0)</f>
        <v>22.898899999999998</v>
      </c>
      <c r="D235" s="4">
        <f>32.3951 * CHOOSE(CONTROL!$C$9, $C$13, 100%, $E$13) + CHOOSE(CONTROL!$C$28, 0, 0)</f>
        <v>32.395099999999999</v>
      </c>
      <c r="E235" s="4">
        <f>145.636562545806 * CHOOSE(CONTROL!$C$9, $C$13, 100%, $E$13) + CHOOSE(CONTROL!$C$28, 0, 0)</f>
        <v>145.63656254580599</v>
      </c>
    </row>
    <row r="236" spans="1:5" ht="15">
      <c r="A236" s="13">
        <v>48670</v>
      </c>
      <c r="B236" s="4">
        <f>24.1792 * CHOOSE(CONTROL!$C$9, $C$13, 100%, $E$13) + CHOOSE(CONTROL!$C$28, 0.0003, 0)</f>
        <v>24.179500000000001</v>
      </c>
      <c r="C236" s="4">
        <f>23.8159 * CHOOSE(CONTROL!$C$9, $C$13, 100%, $E$13) + CHOOSE(CONTROL!$C$28, 0.0003, 0)</f>
        <v>23.816199999999998</v>
      </c>
      <c r="D236" s="4">
        <f>33.2865 * CHOOSE(CONTROL!$C$9, $C$13, 100%, $E$13) + CHOOSE(CONTROL!$C$28, 0, 0)</f>
        <v>33.286499999999997</v>
      </c>
      <c r="E236" s="4">
        <f>151.57716418323 * CHOOSE(CONTROL!$C$9, $C$13, 100%, $E$13) + CHOOSE(CONTROL!$C$28, 0, 0)</f>
        <v>151.57716418323</v>
      </c>
    </row>
    <row r="237" spans="1:5" ht="15">
      <c r="A237" s="13">
        <v>48700</v>
      </c>
      <c r="B237" s="4">
        <f>24.7397 * CHOOSE(CONTROL!$C$9, $C$13, 100%, $E$13) + CHOOSE(CONTROL!$C$28, 0.013, 0)</f>
        <v>24.752700000000001</v>
      </c>
      <c r="C237" s="4">
        <f>24.3764 * CHOOSE(CONTROL!$C$9, $C$13, 100%, $E$13) + CHOOSE(CONTROL!$C$28, 0.013, 0)</f>
        <v>24.389400000000002</v>
      </c>
      <c r="D237" s="4">
        <f>32.9343 * CHOOSE(CONTROL!$C$9, $C$13, 100%, $E$13) + CHOOSE(CONTROL!$C$28, 0, 0)</f>
        <v>32.9343</v>
      </c>
      <c r="E237" s="4">
        <f>155.206729407345 * CHOOSE(CONTROL!$C$9, $C$13, 100%, $E$13) + CHOOSE(CONTROL!$C$28, 0, 0)</f>
        <v>155.20672940734499</v>
      </c>
    </row>
    <row r="238" spans="1:5" ht="15">
      <c r="A238" s="13">
        <v>48731</v>
      </c>
      <c r="B238" s="4">
        <f>24.8155 * CHOOSE(CONTROL!$C$9, $C$13, 100%, $E$13) + CHOOSE(CONTROL!$C$28, 0.013, 0)</f>
        <v>24.828500000000002</v>
      </c>
      <c r="C238" s="4">
        <f>24.4522 * CHOOSE(CONTROL!$C$9, $C$13, 100%, $E$13) + CHOOSE(CONTROL!$C$28, 0.013, 0)</f>
        <v>24.465200000000003</v>
      </c>
      <c r="D238" s="4">
        <f>33.2211 * CHOOSE(CONTROL!$C$9, $C$13, 100%, $E$13) + CHOOSE(CONTROL!$C$28, 0, 0)</f>
        <v>33.2211</v>
      </c>
      <c r="E238" s="4">
        <f>155.697824645173 * CHOOSE(CONTROL!$C$9, $C$13, 100%, $E$13) + CHOOSE(CONTROL!$C$28, 0, 0)</f>
        <v>155.697824645173</v>
      </c>
    </row>
    <row r="239" spans="1:5" ht="15">
      <c r="A239" s="13">
        <v>48761</v>
      </c>
      <c r="B239" s="4">
        <f>24.8079 * CHOOSE(CONTROL!$C$9, $C$13, 100%, $E$13) + CHOOSE(CONTROL!$C$28, 0.013, 0)</f>
        <v>24.820900000000002</v>
      </c>
      <c r="C239" s="4">
        <f>24.4446 * CHOOSE(CONTROL!$C$9, $C$13, 100%, $E$13) + CHOOSE(CONTROL!$C$28, 0.013, 0)</f>
        <v>24.457600000000003</v>
      </c>
      <c r="D239" s="4">
        <f>33.7387 * CHOOSE(CONTROL!$C$9, $C$13, 100%, $E$13) + CHOOSE(CONTROL!$C$28, 0, 0)</f>
        <v>33.738700000000001</v>
      </c>
      <c r="E239" s="4">
        <f>155.648302436317 * CHOOSE(CONTROL!$C$9, $C$13, 100%, $E$13) + CHOOSE(CONTROL!$C$28, 0, 0)</f>
        <v>155.64830243631701</v>
      </c>
    </row>
    <row r="240" spans="1:5" ht="15">
      <c r="A240" s="13">
        <v>48792</v>
      </c>
      <c r="B240" s="4">
        <f>25.3833 * CHOOSE(CONTROL!$C$9, $C$13, 100%, $E$13) + CHOOSE(CONTROL!$C$28, 0.013, 0)</f>
        <v>25.3963</v>
      </c>
      <c r="C240" s="4">
        <f>25.02 * CHOOSE(CONTROL!$C$9, $C$13, 100%, $E$13) + CHOOSE(CONTROL!$C$28, 0.013, 0)</f>
        <v>25.033000000000001</v>
      </c>
      <c r="D240" s="4">
        <f>33.3969 * CHOOSE(CONTROL!$C$9, $C$13, 100%, $E$13) + CHOOSE(CONTROL!$C$28, 0, 0)</f>
        <v>33.396900000000002</v>
      </c>
      <c r="E240" s="4">
        <f>159.374848652776 * CHOOSE(CONTROL!$C$9, $C$13, 100%, $E$13) + CHOOSE(CONTROL!$C$28, 0, 0)</f>
        <v>159.374848652776</v>
      </c>
    </row>
    <row r="241" spans="1:5" ht="15">
      <c r="A241" s="13">
        <v>48823</v>
      </c>
      <c r="B241" s="4">
        <f>24.4026 * CHOOSE(CONTROL!$C$9, $C$13, 100%, $E$13) + CHOOSE(CONTROL!$C$28, 0.013, 0)</f>
        <v>24.415600000000001</v>
      </c>
      <c r="C241" s="4">
        <f>24.0393 * CHOOSE(CONTROL!$C$9, $C$13, 100%, $E$13) + CHOOSE(CONTROL!$C$28, 0.013, 0)</f>
        <v>24.052300000000002</v>
      </c>
      <c r="D241" s="4">
        <f>33.2354 * CHOOSE(CONTROL!$C$9, $C$13, 100%, $E$13) + CHOOSE(CONTROL!$C$28, 0, 0)</f>
        <v>33.235399999999998</v>
      </c>
      <c r="E241" s="4">
        <f>153.023625366916 * CHOOSE(CONTROL!$C$9, $C$13, 100%, $E$13) + CHOOSE(CONTROL!$C$28, 0, 0)</f>
        <v>153.02362536691601</v>
      </c>
    </row>
    <row r="242" spans="1:5" ht="15">
      <c r="A242" s="13">
        <v>48853</v>
      </c>
      <c r="B242" s="4">
        <f>23.6175 * CHOOSE(CONTROL!$C$9, $C$13, 100%, $E$13) + CHOOSE(CONTROL!$C$28, 0.0003, 0)</f>
        <v>23.617799999999999</v>
      </c>
      <c r="C242" s="4">
        <f>23.2542 * CHOOSE(CONTROL!$C$9, $C$13, 100%, $E$13) + CHOOSE(CONTROL!$C$28, 0.0003, 0)</f>
        <v>23.2545</v>
      </c>
      <c r="D242" s="4">
        <f>32.8029 * CHOOSE(CONTROL!$C$9, $C$13, 100%, $E$13) + CHOOSE(CONTROL!$C$28, 0, 0)</f>
        <v>32.802900000000001</v>
      </c>
      <c r="E242" s="4">
        <f>147.939345257638 * CHOOSE(CONTROL!$C$9, $C$13, 100%, $E$13) + CHOOSE(CONTROL!$C$28, 0, 0)</f>
        <v>147.939345257638</v>
      </c>
    </row>
    <row r="243" spans="1:5" ht="15">
      <c r="A243" s="13">
        <v>48884</v>
      </c>
      <c r="B243" s="4">
        <f>23.1118 * CHOOSE(CONTROL!$C$9, $C$13, 100%, $E$13) + CHOOSE(CONTROL!$C$28, 0.0003, 0)</f>
        <v>23.112099999999998</v>
      </c>
      <c r="C243" s="4">
        <f>22.7485 * CHOOSE(CONTROL!$C$9, $C$13, 100%, $E$13) + CHOOSE(CONTROL!$C$28, 0.0003, 0)</f>
        <v>22.748799999999999</v>
      </c>
      <c r="D243" s="4">
        <f>32.6543 * CHOOSE(CONTROL!$C$9, $C$13, 100%, $E$13) + CHOOSE(CONTROL!$C$28, 0, 0)</f>
        <v>32.654299999999999</v>
      </c>
      <c r="E243" s="4">
        <f>144.664689196995 * CHOOSE(CONTROL!$C$9, $C$13, 100%, $E$13) + CHOOSE(CONTROL!$C$28, 0, 0)</f>
        <v>144.664689196995</v>
      </c>
    </row>
    <row r="244" spans="1:5" ht="15">
      <c r="A244" s="13">
        <v>48914</v>
      </c>
      <c r="B244" s="4">
        <f>22.762 * CHOOSE(CONTROL!$C$9, $C$13, 100%, $E$13) + CHOOSE(CONTROL!$C$28, 0.0003, 0)</f>
        <v>22.7623</v>
      </c>
      <c r="C244" s="4">
        <f>22.3987 * CHOOSE(CONTROL!$C$9, $C$13, 100%, $E$13) + CHOOSE(CONTROL!$C$28, 0.0003, 0)</f>
        <v>22.399000000000001</v>
      </c>
      <c r="D244" s="4">
        <f>31.5598 * CHOOSE(CONTROL!$C$9, $C$13, 100%, $E$13) + CHOOSE(CONTROL!$C$28, 0, 0)</f>
        <v>31.559799999999999</v>
      </c>
      <c r="E244" s="4">
        <f>142.399048141805 * CHOOSE(CONTROL!$C$9, $C$13, 100%, $E$13) + CHOOSE(CONTROL!$C$28, 0, 0)</f>
        <v>142.399048141805</v>
      </c>
    </row>
    <row r="245" spans="1:5" ht="15">
      <c r="A245" s="13">
        <v>48945</v>
      </c>
      <c r="B245" s="4">
        <f>22.1703 * CHOOSE(CONTROL!$C$9, $C$13, 100%, $E$13) + CHOOSE(CONTROL!$C$28, 0.0003, 0)</f>
        <v>22.1706</v>
      </c>
      <c r="C245" s="4">
        <f>21.807 * CHOOSE(CONTROL!$C$9, $C$13, 100%, $E$13) + CHOOSE(CONTROL!$C$28, 0.0003, 0)</f>
        <v>21.807299999999998</v>
      </c>
      <c r="D245" s="4">
        <f>30.6112 * CHOOSE(CONTROL!$C$9, $C$13, 100%, $E$13) + CHOOSE(CONTROL!$C$28, 0, 0)</f>
        <v>30.6112</v>
      </c>
      <c r="E245" s="4">
        <f>138.472926489847 * CHOOSE(CONTROL!$C$9, $C$13, 100%, $E$13) + CHOOSE(CONTROL!$C$28, 0, 0)</f>
        <v>138.472926489847</v>
      </c>
    </row>
    <row r="246" spans="1:5" ht="15">
      <c r="A246" s="13">
        <v>48976</v>
      </c>
      <c r="B246" s="4">
        <f>22.6784 * CHOOSE(CONTROL!$C$9, $C$13, 100%, $E$13) + CHOOSE(CONTROL!$C$28, 0.0003, 0)</f>
        <v>22.678699999999999</v>
      </c>
      <c r="C246" s="4">
        <f>22.3151 * CHOOSE(CONTROL!$C$9, $C$13, 100%, $E$13) + CHOOSE(CONTROL!$C$28, 0.0003, 0)</f>
        <v>22.3154</v>
      </c>
      <c r="D246" s="4">
        <f>31.6263 * CHOOSE(CONTROL!$C$9, $C$13, 100%, $E$13) + CHOOSE(CONTROL!$C$28, 0, 0)</f>
        <v>31.626300000000001</v>
      </c>
      <c r="E246" s="4">
        <f>141.760819473979 * CHOOSE(CONTROL!$C$9, $C$13, 100%, $E$13) + CHOOSE(CONTROL!$C$28, 0, 0)</f>
        <v>141.76081947397901</v>
      </c>
    </row>
    <row r="247" spans="1:5" ht="15">
      <c r="A247" s="13">
        <v>49004</v>
      </c>
      <c r="B247" s="4">
        <f>24.0125 * CHOOSE(CONTROL!$C$9, $C$13, 100%, $E$13) + CHOOSE(CONTROL!$C$28, 0.0003, 0)</f>
        <v>24.012799999999999</v>
      </c>
      <c r="C247" s="4">
        <f>23.6492 * CHOOSE(CONTROL!$C$9, $C$13, 100%, $E$13) + CHOOSE(CONTROL!$C$28, 0.0003, 0)</f>
        <v>23.6495</v>
      </c>
      <c r="D247" s="4">
        <f>33.2152 * CHOOSE(CONTROL!$C$9, $C$13, 100%, $E$13) + CHOOSE(CONTROL!$C$28, 0, 0)</f>
        <v>33.215200000000003</v>
      </c>
      <c r="E247" s="4">
        <f>150.395001179555 * CHOOSE(CONTROL!$C$9, $C$13, 100%, $E$13) + CHOOSE(CONTROL!$C$28, 0, 0)</f>
        <v>150.39500117955501</v>
      </c>
    </row>
    <row r="248" spans="1:5" ht="15">
      <c r="A248" s="13">
        <v>49035</v>
      </c>
      <c r="B248" s="4">
        <f>24.9605 * CHOOSE(CONTROL!$C$9, $C$13, 100%, $E$13) + CHOOSE(CONTROL!$C$28, 0.0003, 0)</f>
        <v>24.960799999999999</v>
      </c>
      <c r="C248" s="4">
        <f>24.5972 * CHOOSE(CONTROL!$C$9, $C$13, 100%, $E$13) + CHOOSE(CONTROL!$C$28, 0.0003, 0)</f>
        <v>24.5975</v>
      </c>
      <c r="D248" s="4">
        <f>34.1305 * CHOOSE(CONTROL!$C$9, $C$13, 100%, $E$13) + CHOOSE(CONTROL!$C$28, 0, 0)</f>
        <v>34.130499999999998</v>
      </c>
      <c r="E248" s="4">
        <f>156.529702346967 * CHOOSE(CONTROL!$C$9, $C$13, 100%, $E$13) + CHOOSE(CONTROL!$C$28, 0, 0)</f>
        <v>156.52970234696701</v>
      </c>
    </row>
    <row r="249" spans="1:5" ht="15">
      <c r="A249" s="13">
        <v>49065</v>
      </c>
      <c r="B249" s="4">
        <f>25.5396 * CHOOSE(CONTROL!$C$9, $C$13, 100%, $E$13) + CHOOSE(CONTROL!$C$28, 0.013, 0)</f>
        <v>25.552600000000002</v>
      </c>
      <c r="C249" s="4">
        <f>25.1763 * CHOOSE(CONTROL!$C$9, $C$13, 100%, $E$13) + CHOOSE(CONTROL!$C$28, 0.013, 0)</f>
        <v>25.189300000000003</v>
      </c>
      <c r="D249" s="4">
        <f>33.7688 * CHOOSE(CONTROL!$C$9, $C$13, 100%, $E$13) + CHOOSE(CONTROL!$C$28, 0, 0)</f>
        <v>33.768799999999999</v>
      </c>
      <c r="E249" s="4">
        <f>160.277857731989 * CHOOSE(CONTROL!$C$9, $C$13, 100%, $E$13) + CHOOSE(CONTROL!$C$28, 0, 0)</f>
        <v>160.277857731989</v>
      </c>
    </row>
    <row r="250" spans="1:5" ht="15">
      <c r="A250" s="13">
        <v>49096</v>
      </c>
      <c r="B250" s="4">
        <f>25.618 * CHOOSE(CONTROL!$C$9, $C$13, 100%, $E$13) + CHOOSE(CONTROL!$C$28, 0.013, 0)</f>
        <v>25.631</v>
      </c>
      <c r="C250" s="4">
        <f>25.2547 * CHOOSE(CONTROL!$C$9, $C$13, 100%, $E$13) + CHOOSE(CONTROL!$C$28, 0.013, 0)</f>
        <v>25.267700000000001</v>
      </c>
      <c r="D250" s="4">
        <f>34.0634 * CHOOSE(CONTROL!$C$9, $C$13, 100%, $E$13) + CHOOSE(CONTROL!$C$28, 0, 0)</f>
        <v>34.063400000000001</v>
      </c>
      <c r="E250" s="4">
        <f>160.784998710746 * CHOOSE(CONTROL!$C$9, $C$13, 100%, $E$13) + CHOOSE(CONTROL!$C$28, 0, 0)</f>
        <v>160.78499871074601</v>
      </c>
    </row>
    <row r="251" spans="1:5" ht="15">
      <c r="A251" s="13">
        <v>49126</v>
      </c>
      <c r="B251" s="4">
        <f>25.6101 * CHOOSE(CONTROL!$C$9, $C$13, 100%, $E$13) + CHOOSE(CONTROL!$C$28, 0.013, 0)</f>
        <v>25.623100000000001</v>
      </c>
      <c r="C251" s="4">
        <f>25.2468 * CHOOSE(CONTROL!$C$9, $C$13, 100%, $E$13) + CHOOSE(CONTROL!$C$28, 0.013, 0)</f>
        <v>25.259800000000002</v>
      </c>
      <c r="D251" s="4">
        <f>34.5949 * CHOOSE(CONTROL!$C$9, $C$13, 100%, $E$13) + CHOOSE(CONTROL!$C$28, 0, 0)</f>
        <v>34.594900000000003</v>
      </c>
      <c r="E251" s="4">
        <f>160.733858443981 * CHOOSE(CONTROL!$C$9, $C$13, 100%, $E$13) + CHOOSE(CONTROL!$C$28, 0, 0)</f>
        <v>160.73385844398101</v>
      </c>
    </row>
    <row r="252" spans="1:5" ht="15">
      <c r="A252" s="13">
        <v>49157</v>
      </c>
      <c r="B252" s="4">
        <f>26.2047 * CHOOSE(CONTROL!$C$9, $C$13, 100%, $E$13) + CHOOSE(CONTROL!$C$28, 0.013, 0)</f>
        <v>26.217700000000001</v>
      </c>
      <c r="C252" s="4">
        <f>25.8415 * CHOOSE(CONTROL!$C$9, $C$13, 100%, $E$13) + CHOOSE(CONTROL!$C$28, 0.013, 0)</f>
        <v>25.854500000000002</v>
      </c>
      <c r="D252" s="4">
        <f>34.2439 * CHOOSE(CONTROL!$C$9, $C$13, 100%, $E$13) + CHOOSE(CONTROL!$C$28, 0, 0)</f>
        <v>34.243899999999996</v>
      </c>
      <c r="E252" s="4">
        <f>164.582163518085 * CHOOSE(CONTROL!$C$9, $C$13, 100%, $E$13) + CHOOSE(CONTROL!$C$28, 0, 0)</f>
        <v>164.582163518085</v>
      </c>
    </row>
    <row r="253" spans="1:5" ht="15">
      <c r="A253" s="13">
        <v>49188</v>
      </c>
      <c r="B253" s="4">
        <f>25.1913 * CHOOSE(CONTROL!$C$9, $C$13, 100%, $E$13) + CHOOSE(CONTROL!$C$28, 0.013, 0)</f>
        <v>25.2043</v>
      </c>
      <c r="C253" s="4">
        <f>24.828 * CHOOSE(CONTROL!$C$9, $C$13, 100%, $E$13) + CHOOSE(CONTROL!$C$28, 0.013, 0)</f>
        <v>24.841000000000001</v>
      </c>
      <c r="D253" s="4">
        <f>34.078 * CHOOSE(CONTROL!$C$9, $C$13, 100%, $E$13) + CHOOSE(CONTROL!$C$28, 0, 0)</f>
        <v>34.078000000000003</v>
      </c>
      <c r="E253" s="4">
        <f>158.023424305409 * CHOOSE(CONTROL!$C$9, $C$13, 100%, $E$13) + CHOOSE(CONTROL!$C$28, 0, 0)</f>
        <v>158.02342430540901</v>
      </c>
    </row>
    <row r="254" spans="1:5" ht="15">
      <c r="A254" s="13">
        <v>49218</v>
      </c>
      <c r="B254" s="4">
        <f>24.38 * CHOOSE(CONTROL!$C$9, $C$13, 100%, $E$13) + CHOOSE(CONTROL!$C$28, 0.0003, 0)</f>
        <v>24.380299999999998</v>
      </c>
      <c r="C254" s="4">
        <f>24.0167 * CHOOSE(CONTROL!$C$9, $C$13, 100%, $E$13) + CHOOSE(CONTROL!$C$28, 0.0003, 0)</f>
        <v>24.016999999999999</v>
      </c>
      <c r="D254" s="4">
        <f>33.634 * CHOOSE(CONTROL!$C$9, $C$13, 100%, $E$13) + CHOOSE(CONTROL!$C$28, 0, 0)</f>
        <v>33.634</v>
      </c>
      <c r="E254" s="4">
        <f>152.773023584151 * CHOOSE(CONTROL!$C$9, $C$13, 100%, $E$13) + CHOOSE(CONTROL!$C$28, 0, 0)</f>
        <v>152.77302358415099</v>
      </c>
    </row>
    <row r="255" spans="1:5" ht="15">
      <c r="A255" s="13">
        <v>49249</v>
      </c>
      <c r="B255" s="4">
        <f>23.8574 * CHOOSE(CONTROL!$C$9, $C$13, 100%, $E$13) + CHOOSE(CONTROL!$C$28, 0.0003, 0)</f>
        <v>23.857699999999998</v>
      </c>
      <c r="C255" s="4">
        <f>23.4942 * CHOOSE(CONTROL!$C$9, $C$13, 100%, $E$13) + CHOOSE(CONTROL!$C$28, 0.0003, 0)</f>
        <v>23.494499999999999</v>
      </c>
      <c r="D255" s="4">
        <f>33.4813 * CHOOSE(CONTROL!$C$9, $C$13, 100%, $E$13) + CHOOSE(CONTROL!$C$28, 0, 0)</f>
        <v>33.481299999999997</v>
      </c>
      <c r="E255" s="4">
        <f>149.391373444282 * CHOOSE(CONTROL!$C$9, $C$13, 100%, $E$13) + CHOOSE(CONTROL!$C$28, 0, 0)</f>
        <v>149.39137344428201</v>
      </c>
    </row>
    <row r="256" spans="1:5" ht="15">
      <c r="A256" s="13">
        <v>49279</v>
      </c>
      <c r="B256" s="4">
        <f>23.4959 * CHOOSE(CONTROL!$C$9, $C$13, 100%, $E$13) + CHOOSE(CONTROL!$C$28, 0.0003, 0)</f>
        <v>23.496199999999998</v>
      </c>
      <c r="C256" s="4">
        <f>23.1326 * CHOOSE(CONTROL!$C$9, $C$13, 100%, $E$13) + CHOOSE(CONTROL!$C$28, 0.0003, 0)</f>
        <v>23.132899999999999</v>
      </c>
      <c r="D256" s="4">
        <f>32.3574 * CHOOSE(CONTROL!$C$9, $C$13, 100%, $E$13) + CHOOSE(CONTROL!$C$28, 0, 0)</f>
        <v>32.357399999999998</v>
      </c>
      <c r="E256" s="4">
        <f>147.05170623976 * CHOOSE(CONTROL!$C$9, $C$13, 100%, $E$13) + CHOOSE(CONTROL!$C$28, 0, 0)</f>
        <v>147.05170623975999</v>
      </c>
    </row>
    <row r="257" spans="1:5" ht="15">
      <c r="A257" s="13">
        <v>49310</v>
      </c>
      <c r="B257" s="4">
        <f>22.8615 * CHOOSE(CONTROL!$C$9, $C$13, 100%, $E$13) + CHOOSE(CONTROL!$C$28, 0.0003, 0)</f>
        <v>22.861799999999999</v>
      </c>
      <c r="C257" s="4">
        <f>22.4982 * CHOOSE(CONTROL!$C$9, $C$13, 100%, $E$13) + CHOOSE(CONTROL!$C$28, 0.0003, 0)</f>
        <v>22.4985</v>
      </c>
      <c r="D257" s="4">
        <f>31.3883 * CHOOSE(CONTROL!$C$9, $C$13, 100%, $E$13) + CHOOSE(CONTROL!$C$28, 0, 0)</f>
        <v>31.388300000000001</v>
      </c>
      <c r="E257" s="4">
        <f>142.853728374705 * CHOOSE(CONTROL!$C$9, $C$13, 100%, $E$13) + CHOOSE(CONTROL!$C$28, 0, 0)</f>
        <v>142.85372837470501</v>
      </c>
    </row>
    <row r="258" spans="1:5" ht="15">
      <c r="A258" s="13">
        <v>49341</v>
      </c>
      <c r="B258" s="4">
        <f>23.3859 * CHOOSE(CONTROL!$C$9, $C$13, 100%, $E$13) + CHOOSE(CONTROL!$C$28, 0.0003, 0)</f>
        <v>23.386199999999999</v>
      </c>
      <c r="C258" s="4">
        <f>23.0226 * CHOOSE(CONTROL!$C$9, $C$13, 100%, $E$13) + CHOOSE(CONTROL!$C$28, 0.0003, 0)</f>
        <v>23.0229</v>
      </c>
      <c r="D258" s="4">
        <f>32.4308 * CHOOSE(CONTROL!$C$9, $C$13, 100%, $E$13) + CHOOSE(CONTROL!$C$28, 0, 0)</f>
        <v>32.430799999999998</v>
      </c>
      <c r="E258" s="4">
        <f>146.245638859927 * CHOOSE(CONTROL!$C$9, $C$13, 100%, $E$13) + CHOOSE(CONTROL!$C$28, 0, 0)</f>
        <v>146.245638859927</v>
      </c>
    </row>
    <row r="259" spans="1:5" ht="15">
      <c r="A259" s="13">
        <v>49369</v>
      </c>
      <c r="B259" s="4">
        <f>24.7632 * CHOOSE(CONTROL!$C$9, $C$13, 100%, $E$13) + CHOOSE(CONTROL!$C$28, 0.0003, 0)</f>
        <v>24.763500000000001</v>
      </c>
      <c r="C259" s="4">
        <f>24.3999 * CHOOSE(CONTROL!$C$9, $C$13, 100%, $E$13) + CHOOSE(CONTROL!$C$28, 0.0003, 0)</f>
        <v>24.400199999999998</v>
      </c>
      <c r="D259" s="4">
        <f>34.0627 * CHOOSE(CONTROL!$C$9, $C$13, 100%, $E$13) + CHOOSE(CONTROL!$C$28, 0, 0)</f>
        <v>34.0627</v>
      </c>
      <c r="E259" s="4">
        <f>155.152976051192 * CHOOSE(CONTROL!$C$9, $C$13, 100%, $E$13) + CHOOSE(CONTROL!$C$28, 0, 0)</f>
        <v>155.15297605119201</v>
      </c>
    </row>
    <row r="260" spans="1:5" ht="15">
      <c r="A260" s="13">
        <v>49400</v>
      </c>
      <c r="B260" s="4">
        <f>25.7417 * CHOOSE(CONTROL!$C$9, $C$13, 100%, $E$13) + CHOOSE(CONTROL!$C$28, 0.0003, 0)</f>
        <v>25.742000000000001</v>
      </c>
      <c r="C260" s="4">
        <f>25.3784 * CHOOSE(CONTROL!$C$9, $C$13, 100%, $E$13) + CHOOSE(CONTROL!$C$28, 0.0003, 0)</f>
        <v>25.378699999999998</v>
      </c>
      <c r="D260" s="4">
        <f>35.0027 * CHOOSE(CONTROL!$C$9, $C$13, 100%, $E$13) + CHOOSE(CONTROL!$C$28, 0, 0)</f>
        <v>35.002699999999997</v>
      </c>
      <c r="E260" s="4">
        <f>161.48175783146 * CHOOSE(CONTROL!$C$9, $C$13, 100%, $E$13) + CHOOSE(CONTROL!$C$28, 0, 0)</f>
        <v>161.48175783145999</v>
      </c>
    </row>
    <row r="261" spans="1:5" ht="15">
      <c r="A261" s="13">
        <v>49430</v>
      </c>
      <c r="B261" s="4">
        <f>26.3396 * CHOOSE(CONTROL!$C$9, $C$13, 100%, $E$13) + CHOOSE(CONTROL!$C$28, 0.013, 0)</f>
        <v>26.352600000000002</v>
      </c>
      <c r="C261" s="4">
        <f>25.9763 * CHOOSE(CONTROL!$C$9, $C$13, 100%, $E$13) + CHOOSE(CONTROL!$C$28, 0.013, 0)</f>
        <v>25.9893</v>
      </c>
      <c r="D261" s="4">
        <f>34.6312 * CHOOSE(CONTROL!$C$9, $C$13, 100%, $E$13) + CHOOSE(CONTROL!$C$28, 0, 0)</f>
        <v>34.6312</v>
      </c>
      <c r="E261" s="4">
        <f>165.348491819475 * CHOOSE(CONTROL!$C$9, $C$13, 100%, $E$13) + CHOOSE(CONTROL!$C$28, 0, 0)</f>
        <v>165.34849181947499</v>
      </c>
    </row>
    <row r="262" spans="1:5" ht="15">
      <c r="A262" s="14">
        <v>49461</v>
      </c>
      <c r="B262" s="4">
        <f>26.4205 * CHOOSE(CONTROL!$C$9, $C$13, 100%, $E$13) + CHOOSE(CONTROL!$C$28, 0.013, 0)</f>
        <v>26.433500000000002</v>
      </c>
      <c r="C262" s="4">
        <f>26.0572 * CHOOSE(CONTROL!$C$9, $C$13, 100%, $E$13) + CHOOSE(CONTROL!$C$28, 0.013, 0)</f>
        <v>26.070200000000003</v>
      </c>
      <c r="D262" s="4">
        <f>34.9337 * CHOOSE(CONTROL!$C$9, $C$13, 100%, $E$13) + CHOOSE(CONTROL!$C$28, 0, 0)</f>
        <v>34.933700000000002</v>
      </c>
      <c r="E262" s="4">
        <f>165.871676975329 * CHOOSE(CONTROL!$C$9, $C$13, 100%, $E$13) + CHOOSE(CONTROL!$C$28, 0, 0)</f>
        <v>165.871676975329</v>
      </c>
    </row>
    <row r="263" spans="1:5" ht="15">
      <c r="A263" s="14">
        <v>49491</v>
      </c>
      <c r="B263" s="4">
        <f>26.4123 * CHOOSE(CONTROL!$C$9, $C$13, 100%, $E$13) + CHOOSE(CONTROL!$C$28, 0.013, 0)</f>
        <v>26.4253</v>
      </c>
      <c r="C263" s="4">
        <f>26.049 * CHOOSE(CONTROL!$C$9, $C$13, 100%, $E$13) + CHOOSE(CONTROL!$C$28, 0.013, 0)</f>
        <v>26.062000000000001</v>
      </c>
      <c r="D263" s="4">
        <f>35.4796 * CHOOSE(CONTROL!$C$9, $C$13, 100%, $E$13) + CHOOSE(CONTROL!$C$28, 0, 0)</f>
        <v>35.479599999999998</v>
      </c>
      <c r="E263" s="4">
        <f>165.818918808352 * CHOOSE(CONTROL!$C$9, $C$13, 100%, $E$13) + CHOOSE(CONTROL!$C$28, 0, 0)</f>
        <v>165.81891880835201</v>
      </c>
    </row>
    <row r="264" spans="1:5" ht="15">
      <c r="A264" s="14">
        <v>49522</v>
      </c>
      <c r="B264" s="4">
        <f>27.0262 * CHOOSE(CONTROL!$C$9, $C$13, 100%, $E$13) + CHOOSE(CONTROL!$C$28, 0.013, 0)</f>
        <v>27.039200000000001</v>
      </c>
      <c r="C264" s="4">
        <f>26.6629 * CHOOSE(CONTROL!$C$9, $C$13, 100%, $E$13) + CHOOSE(CONTROL!$C$28, 0.013, 0)</f>
        <v>26.675900000000002</v>
      </c>
      <c r="D264" s="4">
        <f>35.1191 * CHOOSE(CONTROL!$C$9, $C$13, 100%, $E$13) + CHOOSE(CONTROL!$C$28, 0, 0)</f>
        <v>35.119100000000003</v>
      </c>
      <c r="E264" s="4">
        <f>169.788970873363 * CHOOSE(CONTROL!$C$9, $C$13, 100%, $E$13) + CHOOSE(CONTROL!$C$28, 0, 0)</f>
        <v>169.78897087336301</v>
      </c>
    </row>
    <row r="265" spans="1:5" ht="15">
      <c r="A265" s="14">
        <v>49553</v>
      </c>
      <c r="B265" s="4">
        <f>25.98 * CHOOSE(CONTROL!$C$9, $C$13, 100%, $E$13) + CHOOSE(CONTROL!$C$28, 0.013, 0)</f>
        <v>25.993000000000002</v>
      </c>
      <c r="C265" s="4">
        <f>25.6167 * CHOOSE(CONTROL!$C$9, $C$13, 100%, $E$13) + CHOOSE(CONTROL!$C$28, 0.013, 0)</f>
        <v>25.629700000000003</v>
      </c>
      <c r="D265" s="4">
        <f>34.9488 * CHOOSE(CONTROL!$C$9, $C$13, 100%, $E$13) + CHOOSE(CONTROL!$C$28, 0, 0)</f>
        <v>34.948799999999999</v>
      </c>
      <c r="E265" s="4">
        <f>163.022735958577 * CHOOSE(CONTROL!$C$9, $C$13, 100%, $E$13) + CHOOSE(CONTROL!$C$28, 0, 0)</f>
        <v>163.02273595857699</v>
      </c>
    </row>
    <row r="266" spans="1:5" ht="15">
      <c r="A266" s="14">
        <v>49583</v>
      </c>
      <c r="B266" s="4">
        <f>25.1425 * CHOOSE(CONTROL!$C$9, $C$13, 100%, $E$13) + CHOOSE(CONTROL!$C$28, 0.0003, 0)</f>
        <v>25.142799999999998</v>
      </c>
      <c r="C266" s="4">
        <f>24.7792 * CHOOSE(CONTROL!$C$9, $C$13, 100%, $E$13) + CHOOSE(CONTROL!$C$28, 0.0003, 0)</f>
        <v>24.779499999999999</v>
      </c>
      <c r="D266" s="4">
        <f>34.4928 * CHOOSE(CONTROL!$C$9, $C$13, 100%, $E$13) + CHOOSE(CONTROL!$C$28, 0, 0)</f>
        <v>34.492800000000003</v>
      </c>
      <c r="E266" s="4">
        <f>157.606230815617 * CHOOSE(CONTROL!$C$9, $C$13, 100%, $E$13) + CHOOSE(CONTROL!$C$28, 0, 0)</f>
        <v>157.60623081561701</v>
      </c>
    </row>
    <row r="267" spans="1:5" ht="15">
      <c r="A267" s="14">
        <v>49614</v>
      </c>
      <c r="B267" s="4">
        <f>24.6031 * CHOOSE(CONTROL!$C$9, $C$13, 100%, $E$13) + CHOOSE(CONTROL!$C$28, 0.0003, 0)</f>
        <v>24.603400000000001</v>
      </c>
      <c r="C267" s="4">
        <f>24.2398 * CHOOSE(CONTROL!$C$9, $C$13, 100%, $E$13) + CHOOSE(CONTROL!$C$28, 0.0003, 0)</f>
        <v>24.240099999999998</v>
      </c>
      <c r="D267" s="4">
        <f>34.336 * CHOOSE(CONTROL!$C$9, $C$13, 100%, $E$13) + CHOOSE(CONTROL!$C$28, 0, 0)</f>
        <v>34.335999999999999</v>
      </c>
      <c r="E267" s="4">
        <f>154.11759702427 * CHOOSE(CONTROL!$C$9, $C$13, 100%, $E$13) + CHOOSE(CONTROL!$C$28, 0, 0)</f>
        <v>154.11759702427</v>
      </c>
    </row>
    <row r="268" spans="1:5" ht="15">
      <c r="A268" s="14">
        <v>49644</v>
      </c>
      <c r="B268" s="4">
        <f>24.2299 * CHOOSE(CONTROL!$C$9, $C$13, 100%, $E$13) + CHOOSE(CONTROL!$C$28, 0.0003, 0)</f>
        <v>24.2302</v>
      </c>
      <c r="C268" s="4">
        <f>23.8666 * CHOOSE(CONTROL!$C$9, $C$13, 100%, $E$13) + CHOOSE(CONTROL!$C$28, 0.0003, 0)</f>
        <v>23.866899999999998</v>
      </c>
      <c r="D268" s="4">
        <f>33.1817 * CHOOSE(CONTROL!$C$9, $C$13, 100%, $E$13) + CHOOSE(CONTROL!$C$28, 0, 0)</f>
        <v>33.181699999999999</v>
      </c>
      <c r="E268" s="4">
        <f>151.703910885078 * CHOOSE(CONTROL!$C$9, $C$13, 100%, $E$13) + CHOOSE(CONTROL!$C$28, 0, 0)</f>
        <v>151.70391088507799</v>
      </c>
    </row>
    <row r="269" spans="1:5" ht="15">
      <c r="A269" s="14">
        <v>49675</v>
      </c>
      <c r="B269" s="4">
        <f>23.2088 * CHOOSE(CONTROL!$C$9, $C$13, 100%, $E$13) + CHOOSE(CONTROL!$C$28, 0.0003, 0)</f>
        <v>23.209099999999999</v>
      </c>
      <c r="C269" s="4">
        <f>22.8455 * CHOOSE(CONTROL!$C$9, $C$13, 100%, $E$13) + CHOOSE(CONTROL!$C$28, 0.0003, 0)</f>
        <v>22.845800000000001</v>
      </c>
      <c r="D269" s="4">
        <f>31.9102 * CHOOSE(CONTROL!$C$9, $C$13, 100%, $E$13) + CHOOSE(CONTROL!$C$28, 0, 0)</f>
        <v>31.9102</v>
      </c>
      <c r="E269" s="4">
        <f>145.384826561507 * CHOOSE(CONTROL!$C$9, $C$13, 100%, $E$13) + CHOOSE(CONTROL!$C$28, 0, 0)</f>
        <v>145.384826561507</v>
      </c>
    </row>
    <row r="270" spans="1:5" ht="15">
      <c r="A270" s="14">
        <v>49706</v>
      </c>
      <c r="B270" s="4">
        <f>23.7415 * CHOOSE(CONTROL!$C$9, $C$13, 100%, $E$13) + CHOOSE(CONTROL!$C$28, 0.0003, 0)</f>
        <v>23.741799999999998</v>
      </c>
      <c r="C270" s="4">
        <f>23.3782 * CHOOSE(CONTROL!$C$9, $C$13, 100%, $E$13) + CHOOSE(CONTROL!$C$28, 0.0003, 0)</f>
        <v>23.378499999999999</v>
      </c>
      <c r="D270" s="4">
        <f>32.971 * CHOOSE(CONTROL!$C$9, $C$13, 100%, $E$13) + CHOOSE(CONTROL!$C$28, 0, 0)</f>
        <v>32.970999999999997</v>
      </c>
      <c r="E270" s="4">
        <f>148.836835292513 * CHOOSE(CONTROL!$C$9, $C$13, 100%, $E$13) + CHOOSE(CONTROL!$C$28, 0, 0)</f>
        <v>148.836835292513</v>
      </c>
    </row>
    <row r="271" spans="1:5" ht="15">
      <c r="A271" s="14">
        <v>49735</v>
      </c>
      <c r="B271" s="4">
        <f>25.1404 * CHOOSE(CONTROL!$C$9, $C$13, 100%, $E$13) + CHOOSE(CONTROL!$C$28, 0.0003, 0)</f>
        <v>25.140699999999999</v>
      </c>
      <c r="C271" s="4">
        <f>24.7771 * CHOOSE(CONTROL!$C$9, $C$13, 100%, $E$13) + CHOOSE(CONTROL!$C$28, 0.0003, 0)</f>
        <v>24.7774</v>
      </c>
      <c r="D271" s="4">
        <f>34.6318 * CHOOSE(CONTROL!$C$9, $C$13, 100%, $E$13) + CHOOSE(CONTROL!$C$28, 0, 0)</f>
        <v>34.631799999999998</v>
      </c>
      <c r="E271" s="4">
        <f>157.901993671019 * CHOOSE(CONTROL!$C$9, $C$13, 100%, $E$13) + CHOOSE(CONTROL!$C$28, 0, 0)</f>
        <v>157.901993671019</v>
      </c>
    </row>
    <row r="272" spans="1:5" ht="15">
      <c r="A272" s="14">
        <v>49766</v>
      </c>
      <c r="B272" s="4">
        <f>26.1343 * CHOOSE(CONTROL!$C$9, $C$13, 100%, $E$13) + CHOOSE(CONTROL!$C$28, 0.0003, 0)</f>
        <v>26.134599999999999</v>
      </c>
      <c r="C272" s="4">
        <f>25.7711 * CHOOSE(CONTROL!$C$9, $C$13, 100%, $E$13) + CHOOSE(CONTROL!$C$28, 0.0003, 0)</f>
        <v>25.7714</v>
      </c>
      <c r="D272" s="4">
        <f>35.5884 * CHOOSE(CONTROL!$C$9, $C$13, 100%, $E$13) + CHOOSE(CONTROL!$C$28, 0, 0)</f>
        <v>35.5884</v>
      </c>
      <c r="E272" s="4">
        <f>164.342909508067 * CHOOSE(CONTROL!$C$9, $C$13, 100%, $E$13) + CHOOSE(CONTROL!$C$28, 0, 0)</f>
        <v>164.34290950806701</v>
      </c>
    </row>
    <row r="273" spans="1:5" ht="15">
      <c r="A273" s="14">
        <v>49796</v>
      </c>
      <c r="B273" s="4">
        <f>26.7416 * CHOOSE(CONTROL!$C$9, $C$13, 100%, $E$13) + CHOOSE(CONTROL!$C$28, 0.013, 0)</f>
        <v>26.7546</v>
      </c>
      <c r="C273" s="4">
        <f>26.3783 * CHOOSE(CONTROL!$C$9, $C$13, 100%, $E$13) + CHOOSE(CONTROL!$C$28, 0.013, 0)</f>
        <v>26.391300000000001</v>
      </c>
      <c r="D273" s="4">
        <f>35.2104 * CHOOSE(CONTROL!$C$9, $C$13, 100%, $E$13) + CHOOSE(CONTROL!$C$28, 0, 0)</f>
        <v>35.2104</v>
      </c>
      <c r="E273" s="4">
        <f>168.278154717296 * CHOOSE(CONTROL!$C$9, $C$13, 100%, $E$13) + CHOOSE(CONTROL!$C$28, 0, 0)</f>
        <v>168.27815471729599</v>
      </c>
    </row>
    <row r="274" spans="1:5" ht="15">
      <c r="A274" s="14">
        <v>49827</v>
      </c>
      <c r="B274" s="4">
        <f>26.8238 * CHOOSE(CONTROL!$C$9, $C$13, 100%, $E$13) + CHOOSE(CONTROL!$C$28, 0.013, 0)</f>
        <v>26.8368</v>
      </c>
      <c r="C274" s="4">
        <f>26.4605 * CHOOSE(CONTROL!$C$9, $C$13, 100%, $E$13) + CHOOSE(CONTROL!$C$28, 0.013, 0)</f>
        <v>26.473500000000001</v>
      </c>
      <c r="D274" s="4">
        <f>35.5182 * CHOOSE(CONTROL!$C$9, $C$13, 100%, $E$13) + CHOOSE(CONTROL!$C$28, 0, 0)</f>
        <v>35.5182</v>
      </c>
      <c r="E274" s="4">
        <f>168.810609725707 * CHOOSE(CONTROL!$C$9, $C$13, 100%, $E$13) + CHOOSE(CONTROL!$C$28, 0, 0)</f>
        <v>168.810609725707</v>
      </c>
    </row>
    <row r="275" spans="1:5" ht="15">
      <c r="A275" s="14">
        <v>49857</v>
      </c>
      <c r="B275" s="4">
        <f>26.8155 * CHOOSE(CONTROL!$C$9, $C$13, 100%, $E$13) + CHOOSE(CONTROL!$C$28, 0.013, 0)</f>
        <v>26.828500000000002</v>
      </c>
      <c r="C275" s="4">
        <f>26.4522 * CHOOSE(CONTROL!$C$9, $C$13, 100%, $E$13) + CHOOSE(CONTROL!$C$28, 0.013, 0)</f>
        <v>26.465200000000003</v>
      </c>
      <c r="D275" s="4">
        <f>36.0737 * CHOOSE(CONTROL!$C$9, $C$13, 100%, $E$13) + CHOOSE(CONTROL!$C$28, 0, 0)</f>
        <v>36.073700000000002</v>
      </c>
      <c r="E275" s="4">
        <f>168.756916783683 * CHOOSE(CONTROL!$C$9, $C$13, 100%, $E$13) + CHOOSE(CONTROL!$C$28, 0, 0)</f>
        <v>168.75691678368301</v>
      </c>
    </row>
    <row r="276" spans="1:5" ht="15">
      <c r="A276" s="14">
        <v>49888</v>
      </c>
      <c r="B276" s="4">
        <f>27.439 * CHOOSE(CONTROL!$C$9, $C$13, 100%, $E$13) + CHOOSE(CONTROL!$C$28, 0.013, 0)</f>
        <v>27.452000000000002</v>
      </c>
      <c r="C276" s="4">
        <f>27.0757 * CHOOSE(CONTROL!$C$9, $C$13, 100%, $E$13) + CHOOSE(CONTROL!$C$28, 0.013, 0)</f>
        <v>27.088700000000003</v>
      </c>
      <c r="D276" s="4">
        <f>35.7069 * CHOOSE(CONTROL!$C$9, $C$13, 100%, $E$13) + CHOOSE(CONTROL!$C$28, 0, 0)</f>
        <v>35.706899999999997</v>
      </c>
      <c r="E276" s="4">
        <f>172.797310671043 * CHOOSE(CONTROL!$C$9, $C$13, 100%, $E$13) + CHOOSE(CONTROL!$C$28, 0, 0)</f>
        <v>172.79731067104299</v>
      </c>
    </row>
    <row r="277" spans="1:5" ht="15">
      <c r="A277" s="14">
        <v>49919</v>
      </c>
      <c r="B277" s="4">
        <f>26.3764 * CHOOSE(CONTROL!$C$9, $C$13, 100%, $E$13) + CHOOSE(CONTROL!$C$28, 0.013, 0)</f>
        <v>26.389400000000002</v>
      </c>
      <c r="C277" s="4">
        <f>26.0131 * CHOOSE(CONTROL!$C$9, $C$13, 100%, $E$13) + CHOOSE(CONTROL!$C$28, 0.013, 0)</f>
        <v>26.026100000000003</v>
      </c>
      <c r="D277" s="4">
        <f>35.5336 * CHOOSE(CONTROL!$C$9, $C$13, 100%, $E$13) + CHOOSE(CONTROL!$C$28, 0, 0)</f>
        <v>35.5336</v>
      </c>
      <c r="E277" s="4">
        <f>165.911190856373 * CHOOSE(CONTROL!$C$9, $C$13, 100%, $E$13) + CHOOSE(CONTROL!$C$28, 0, 0)</f>
        <v>165.911190856373</v>
      </c>
    </row>
    <row r="278" spans="1:5" ht="15">
      <c r="A278" s="14">
        <v>49949</v>
      </c>
      <c r="B278" s="4">
        <f>25.5257 * CHOOSE(CONTROL!$C$9, $C$13, 100%, $E$13) + CHOOSE(CONTROL!$C$28, 0.0003, 0)</f>
        <v>25.526</v>
      </c>
      <c r="C278" s="4">
        <f>25.1624 * CHOOSE(CONTROL!$C$9, $C$13, 100%, $E$13) + CHOOSE(CONTROL!$C$28, 0.0003, 0)</f>
        <v>25.162700000000001</v>
      </c>
      <c r="D278" s="4">
        <f>35.0695 * CHOOSE(CONTROL!$C$9, $C$13, 100%, $E$13) + CHOOSE(CONTROL!$C$28, 0, 0)</f>
        <v>35.069499999999998</v>
      </c>
      <c r="E278" s="4">
        <f>160.398715475169 * CHOOSE(CONTROL!$C$9, $C$13, 100%, $E$13) + CHOOSE(CONTROL!$C$28, 0, 0)</f>
        <v>160.39871547516901</v>
      </c>
    </row>
    <row r="279" spans="1:5" ht="15">
      <c r="A279" s="14">
        <v>49980</v>
      </c>
      <c r="B279" s="4">
        <f>24.9778 * CHOOSE(CONTROL!$C$9, $C$13, 100%, $E$13) + CHOOSE(CONTROL!$C$28, 0.0003, 0)</f>
        <v>24.978099999999998</v>
      </c>
      <c r="C279" s="4">
        <f>24.6145 * CHOOSE(CONTROL!$C$9, $C$13, 100%, $E$13) + CHOOSE(CONTROL!$C$28, 0.0003, 0)</f>
        <v>24.614799999999999</v>
      </c>
      <c r="D279" s="4">
        <f>34.9099 * CHOOSE(CONTROL!$C$9, $C$13, 100%, $E$13) + CHOOSE(CONTROL!$C$28, 0, 0)</f>
        <v>34.9099</v>
      </c>
      <c r="E279" s="4">
        <f>156.848269683784 * CHOOSE(CONTROL!$C$9, $C$13, 100%, $E$13) + CHOOSE(CONTROL!$C$28, 0, 0)</f>
        <v>156.848269683784</v>
      </c>
    </row>
    <row r="280" spans="1:5" ht="15">
      <c r="A280" s="14">
        <v>50010</v>
      </c>
      <c r="B280" s="4">
        <f>24.5987 * CHOOSE(CONTROL!$C$9, $C$13, 100%, $E$13) + CHOOSE(CONTROL!$C$28, 0.0003, 0)</f>
        <v>24.599</v>
      </c>
      <c r="C280" s="4">
        <f>24.2354 * CHOOSE(CONTROL!$C$9, $C$13, 100%, $E$13) + CHOOSE(CONTROL!$C$28, 0.0003, 0)</f>
        <v>24.235699999999998</v>
      </c>
      <c r="D280" s="4">
        <f>33.7352 * CHOOSE(CONTROL!$C$9, $C$13, 100%, $E$13) + CHOOSE(CONTROL!$C$28, 0, 0)</f>
        <v>33.735199999999999</v>
      </c>
      <c r="E280" s="4">
        <f>154.391817586153 * CHOOSE(CONTROL!$C$9, $C$13, 100%, $E$13) + CHOOSE(CONTROL!$C$28, 0, 0)</f>
        <v>154.391817586153</v>
      </c>
    </row>
    <row r="281" spans="1:5" ht="15">
      <c r="A281" s="14">
        <v>50041</v>
      </c>
      <c r="B281" s="4">
        <f>23.5616 * CHOOSE(CONTROL!$C$9, $C$13, 100%, $E$13) + CHOOSE(CONTROL!$C$28, 0.0003, 0)</f>
        <v>23.561899999999998</v>
      </c>
      <c r="C281" s="4">
        <f>23.1983 * CHOOSE(CONTROL!$C$9, $C$13, 100%, $E$13) + CHOOSE(CONTROL!$C$28, 0.0003, 0)</f>
        <v>23.198599999999999</v>
      </c>
      <c r="D281" s="4">
        <f>32.4412 * CHOOSE(CONTROL!$C$9, $C$13, 100%, $E$13) + CHOOSE(CONTROL!$C$28, 0, 0)</f>
        <v>32.441200000000002</v>
      </c>
      <c r="E281" s="4">
        <f>147.960771026416 * CHOOSE(CONTROL!$C$9, $C$13, 100%, $E$13) + CHOOSE(CONTROL!$C$28, 0, 0)</f>
        <v>147.96077102641601</v>
      </c>
    </row>
    <row r="282" spans="1:5" ht="15">
      <c r="A282" s="14">
        <v>50072</v>
      </c>
      <c r="B282" s="4">
        <f>24.1027 * CHOOSE(CONTROL!$C$9, $C$13, 100%, $E$13) + CHOOSE(CONTROL!$C$28, 0.0003, 0)</f>
        <v>24.102999999999998</v>
      </c>
      <c r="C282" s="4">
        <f>23.7394 * CHOOSE(CONTROL!$C$9, $C$13, 100%, $E$13) + CHOOSE(CONTROL!$C$28, 0.0003, 0)</f>
        <v>23.739699999999999</v>
      </c>
      <c r="D282" s="4">
        <f>33.5209 * CHOOSE(CONTROL!$C$9, $C$13, 100%, $E$13) + CHOOSE(CONTROL!$C$28, 0, 0)</f>
        <v>33.520899999999997</v>
      </c>
      <c r="E282" s="4">
        <f>151.473942830583 * CHOOSE(CONTROL!$C$9, $C$13, 100%, $E$13) + CHOOSE(CONTROL!$C$28, 0, 0)</f>
        <v>151.47394283058301</v>
      </c>
    </row>
    <row r="283" spans="1:5" ht="15">
      <c r="A283" s="14">
        <v>50100</v>
      </c>
      <c r="B283" s="4">
        <f>25.5236 * CHOOSE(CONTROL!$C$9, $C$13, 100%, $E$13) + CHOOSE(CONTROL!$C$28, 0.0003, 0)</f>
        <v>25.523899999999998</v>
      </c>
      <c r="C283" s="4">
        <f>25.1603 * CHOOSE(CONTROL!$C$9, $C$13, 100%, $E$13) + CHOOSE(CONTROL!$C$28, 0.0003, 0)</f>
        <v>25.160599999999999</v>
      </c>
      <c r="D283" s="4">
        <f>35.2109 * CHOOSE(CONTROL!$C$9, $C$13, 100%, $E$13) + CHOOSE(CONTROL!$C$28, 0, 0)</f>
        <v>35.210900000000002</v>
      </c>
      <c r="E283" s="4">
        <f>160.699718689612 * CHOOSE(CONTROL!$C$9, $C$13, 100%, $E$13) + CHOOSE(CONTROL!$C$28, 0, 0)</f>
        <v>160.69971868961201</v>
      </c>
    </row>
    <row r="284" spans="1:5" ht="15">
      <c r="A284" s="14">
        <v>50131</v>
      </c>
      <c r="B284" s="4">
        <f>26.5331 * CHOOSE(CONTROL!$C$9, $C$13, 100%, $E$13) + CHOOSE(CONTROL!$C$28, 0.0003, 0)</f>
        <v>26.5334</v>
      </c>
      <c r="C284" s="4">
        <f>26.1699 * CHOOSE(CONTROL!$C$9, $C$13, 100%, $E$13) + CHOOSE(CONTROL!$C$28, 0.0003, 0)</f>
        <v>26.170199999999998</v>
      </c>
      <c r="D284" s="4">
        <f>36.1845 * CHOOSE(CONTROL!$C$9, $C$13, 100%, $E$13) + CHOOSE(CONTROL!$C$28, 0, 0)</f>
        <v>36.1845</v>
      </c>
      <c r="E284" s="4">
        <f>167.254755387082 * CHOOSE(CONTROL!$C$9, $C$13, 100%, $E$13) + CHOOSE(CONTROL!$C$28, 0, 0)</f>
        <v>167.25475538708201</v>
      </c>
    </row>
    <row r="285" spans="1:5" ht="15">
      <c r="A285" s="14">
        <v>50161</v>
      </c>
      <c r="B285" s="4">
        <f>27.15 * CHOOSE(CONTROL!$C$9, $C$13, 100%, $E$13) + CHOOSE(CONTROL!$C$28, 0.013, 0)</f>
        <v>27.163</v>
      </c>
      <c r="C285" s="4">
        <f>26.7867 * CHOOSE(CONTROL!$C$9, $C$13, 100%, $E$13) + CHOOSE(CONTROL!$C$28, 0.013, 0)</f>
        <v>26.799700000000001</v>
      </c>
      <c r="D285" s="4">
        <f>35.7998 * CHOOSE(CONTROL!$C$9, $C$13, 100%, $E$13) + CHOOSE(CONTROL!$C$28, 0, 0)</f>
        <v>35.799799999999998</v>
      </c>
      <c r="E285" s="4">
        <f>171.259725706932 * CHOOSE(CONTROL!$C$9, $C$13, 100%, $E$13) + CHOOSE(CONTROL!$C$28, 0, 0)</f>
        <v>171.25972570693199</v>
      </c>
    </row>
    <row r="286" spans="1:5" ht="15">
      <c r="A286" s="14">
        <v>50192</v>
      </c>
      <c r="B286" s="4">
        <f>27.2334 * CHOOSE(CONTROL!$C$9, $C$13, 100%, $E$13) + CHOOSE(CONTROL!$C$28, 0.013, 0)</f>
        <v>27.246400000000001</v>
      </c>
      <c r="C286" s="4">
        <f>26.8701 * CHOOSE(CONTROL!$C$9, $C$13, 100%, $E$13) + CHOOSE(CONTROL!$C$28, 0.013, 0)</f>
        <v>26.883100000000002</v>
      </c>
      <c r="D286" s="4">
        <f>36.1131 * CHOOSE(CONTROL!$C$9, $C$13, 100%, $E$13) + CHOOSE(CONTROL!$C$28, 0, 0)</f>
        <v>36.113100000000003</v>
      </c>
      <c r="E286" s="4">
        <f>171.801614812176 * CHOOSE(CONTROL!$C$9, $C$13, 100%, $E$13) + CHOOSE(CONTROL!$C$28, 0, 0)</f>
        <v>171.80161481217601</v>
      </c>
    </row>
    <row r="287" spans="1:5" ht="15">
      <c r="A287" s="14">
        <v>50222</v>
      </c>
      <c r="B287" s="4">
        <f>27.225 * CHOOSE(CONTROL!$C$9, $C$13, 100%, $E$13) + CHOOSE(CONTROL!$C$28, 0.013, 0)</f>
        <v>27.238000000000003</v>
      </c>
      <c r="C287" s="4">
        <f>26.8617 * CHOOSE(CONTROL!$C$9, $C$13, 100%, $E$13) + CHOOSE(CONTROL!$C$28, 0.013, 0)</f>
        <v>26.874700000000001</v>
      </c>
      <c r="D287" s="4">
        <f>36.6784 * CHOOSE(CONTROL!$C$9, $C$13, 100%, $E$13) + CHOOSE(CONTROL!$C$28, 0, 0)</f>
        <v>36.678400000000003</v>
      </c>
      <c r="E287" s="4">
        <f>171.746970532655 * CHOOSE(CONTROL!$C$9, $C$13, 100%, $E$13) + CHOOSE(CONTROL!$C$28, 0, 0)</f>
        <v>171.74697053265501</v>
      </c>
    </row>
    <row r="288" spans="1:5" ht="15">
      <c r="A288" s="14">
        <v>50253</v>
      </c>
      <c r="B288" s="4">
        <f>27.8583 * CHOOSE(CONTROL!$C$9, $C$13, 100%, $E$13) + CHOOSE(CONTROL!$C$28, 0.013, 0)</f>
        <v>27.871300000000002</v>
      </c>
      <c r="C288" s="4">
        <f>27.495 * CHOOSE(CONTROL!$C$9, $C$13, 100%, $E$13) + CHOOSE(CONTROL!$C$28, 0.013, 0)</f>
        <v>27.508000000000003</v>
      </c>
      <c r="D288" s="4">
        <f>36.305 * CHOOSE(CONTROL!$C$9, $C$13, 100%, $E$13) + CHOOSE(CONTROL!$C$28, 0, 0)</f>
        <v>36.305</v>
      </c>
      <c r="E288" s="4">
        <f>175.858952566566 * CHOOSE(CONTROL!$C$9, $C$13, 100%, $E$13) + CHOOSE(CONTROL!$C$28, 0, 0)</f>
        <v>175.85895256656599</v>
      </c>
    </row>
    <row r="289" spans="1:5" ht="15">
      <c r="A289" s="14">
        <v>50284</v>
      </c>
      <c r="B289" s="4">
        <f>26.779 * CHOOSE(CONTROL!$C$9, $C$13, 100%, $E$13) + CHOOSE(CONTROL!$C$28, 0.013, 0)</f>
        <v>26.792000000000002</v>
      </c>
      <c r="C289" s="4">
        <f>26.4157 * CHOOSE(CONTROL!$C$9, $C$13, 100%, $E$13) + CHOOSE(CONTROL!$C$28, 0.013, 0)</f>
        <v>26.428700000000003</v>
      </c>
      <c r="D289" s="4">
        <f>36.1287 * CHOOSE(CONTROL!$C$9, $C$13, 100%, $E$13) + CHOOSE(CONTROL!$C$28, 0, 0)</f>
        <v>36.128700000000002</v>
      </c>
      <c r="E289" s="4">
        <f>168.850823718074 * CHOOSE(CONTROL!$C$9, $C$13, 100%, $E$13) + CHOOSE(CONTROL!$C$28, 0, 0)</f>
        <v>168.850823718074</v>
      </c>
    </row>
    <row r="290" spans="1:5" ht="15">
      <c r="A290" s="14">
        <v>50314</v>
      </c>
      <c r="B290" s="4">
        <f>25.9149 * CHOOSE(CONTROL!$C$9, $C$13, 100%, $E$13) + CHOOSE(CONTROL!$C$28, 0.0003, 0)</f>
        <v>25.915199999999999</v>
      </c>
      <c r="C290" s="4">
        <f>25.5516 * CHOOSE(CONTROL!$C$9, $C$13, 100%, $E$13) + CHOOSE(CONTROL!$C$28, 0.0003, 0)</f>
        <v>25.5519</v>
      </c>
      <c r="D290" s="4">
        <f>35.6564 * CHOOSE(CONTROL!$C$9, $C$13, 100%, $E$13) + CHOOSE(CONTROL!$C$28, 0, 0)</f>
        <v>35.656399999999998</v>
      </c>
      <c r="E290" s="4">
        <f>163.240677687311 * CHOOSE(CONTROL!$C$9, $C$13, 100%, $E$13) + CHOOSE(CONTROL!$C$28, 0, 0)</f>
        <v>163.24067768731101</v>
      </c>
    </row>
    <row r="291" spans="1:5" ht="15">
      <c r="A291" s="14">
        <v>50345</v>
      </c>
      <c r="B291" s="4">
        <f>25.3584 * CHOOSE(CONTROL!$C$9, $C$13, 100%, $E$13) + CHOOSE(CONTROL!$C$28, 0.0003, 0)</f>
        <v>25.358699999999999</v>
      </c>
      <c r="C291" s="4">
        <f>24.9951 * CHOOSE(CONTROL!$C$9, $C$13, 100%, $E$13) + CHOOSE(CONTROL!$C$28, 0.0003, 0)</f>
        <v>24.9954</v>
      </c>
      <c r="D291" s="4">
        <f>35.494 * CHOOSE(CONTROL!$C$9, $C$13, 100%, $E$13) + CHOOSE(CONTROL!$C$28, 0, 0)</f>
        <v>35.494</v>
      </c>
      <c r="E291" s="4">
        <f>159.627324704024 * CHOOSE(CONTROL!$C$9, $C$13, 100%, $E$13) + CHOOSE(CONTROL!$C$28, 0, 0)</f>
        <v>159.62732470402401</v>
      </c>
    </row>
    <row r="292" spans="1:5" ht="15">
      <c r="A292" s="14">
        <v>50375</v>
      </c>
      <c r="B292" s="4">
        <f>24.9734 * CHOOSE(CONTROL!$C$9, $C$13, 100%, $E$13) + CHOOSE(CONTROL!$C$28, 0.0003, 0)</f>
        <v>24.973700000000001</v>
      </c>
      <c r="C292" s="4">
        <f>24.6101 * CHOOSE(CONTROL!$C$9, $C$13, 100%, $E$13) + CHOOSE(CONTROL!$C$28, 0.0003, 0)</f>
        <v>24.610399999999998</v>
      </c>
      <c r="D292" s="4">
        <f>34.2986 * CHOOSE(CONTROL!$C$9, $C$13, 100%, $E$13) + CHOOSE(CONTROL!$C$28, 0, 0)</f>
        <v>34.2986</v>
      </c>
      <c r="E292" s="4">
        <f>157.127348915965 * CHOOSE(CONTROL!$C$9, $C$13, 100%, $E$13) + CHOOSE(CONTROL!$C$28, 0, 0)</f>
        <v>157.127348915965</v>
      </c>
    </row>
    <row r="293" spans="1:5" ht="15">
      <c r="A293" s="13">
        <v>50436</v>
      </c>
      <c r="B293" s="4">
        <f>23.9199 * CHOOSE(CONTROL!$C$9, $C$13, 100%, $E$13) + CHOOSE(CONTROL!$C$28, 0.0003, 0)</f>
        <v>23.920199999999998</v>
      </c>
      <c r="C293" s="4">
        <f>23.5566 * CHOOSE(CONTROL!$C$9, $C$13, 100%, $E$13) + CHOOSE(CONTROL!$C$28, 0.0003, 0)</f>
        <v>23.556899999999999</v>
      </c>
      <c r="D293" s="4">
        <f>32.9817 * CHOOSE(CONTROL!$C$9, $C$13, 100%, $E$13) + CHOOSE(CONTROL!$C$28, 0, 0)</f>
        <v>32.981699999999996</v>
      </c>
      <c r="E293" s="4">
        <f>150.582356360755 * CHOOSE(CONTROL!$C$9, $C$13, 100%, $E$13) + CHOOSE(CONTROL!$C$28, 0, 0)</f>
        <v>150.582356360755</v>
      </c>
    </row>
    <row r="294" spans="1:5" ht="15">
      <c r="A294" s="13">
        <v>50464</v>
      </c>
      <c r="B294" s="4">
        <f>24.4695 * CHOOSE(CONTROL!$C$9, $C$13, 100%, $E$13) + CHOOSE(CONTROL!$C$28, 0.0003, 0)</f>
        <v>24.469799999999999</v>
      </c>
      <c r="C294" s="4">
        <f>24.1062 * CHOOSE(CONTROL!$C$9, $C$13, 100%, $E$13) + CHOOSE(CONTROL!$C$28, 0.0003, 0)</f>
        <v>24.1065</v>
      </c>
      <c r="D294" s="4">
        <f>34.0804 * CHOOSE(CONTROL!$C$9, $C$13, 100%, $E$13) + CHOOSE(CONTROL!$C$28, 0, 0)</f>
        <v>34.080399999999997</v>
      </c>
      <c r="E294" s="4">
        <f>154.15777493219 * CHOOSE(CONTROL!$C$9, $C$13, 100%, $E$13) + CHOOSE(CONTROL!$C$28, 0, 0)</f>
        <v>154.15777493218999</v>
      </c>
    </row>
    <row r="295" spans="1:5" ht="15">
      <c r="A295" s="13">
        <v>50495</v>
      </c>
      <c r="B295" s="4">
        <f>25.9128 * CHOOSE(CONTROL!$C$9, $C$13, 100%, $E$13) + CHOOSE(CONTROL!$C$28, 0.0003, 0)</f>
        <v>25.9131</v>
      </c>
      <c r="C295" s="4">
        <f>25.5495 * CHOOSE(CONTROL!$C$9, $C$13, 100%, $E$13) + CHOOSE(CONTROL!$C$28, 0.0003, 0)</f>
        <v>25.549799999999998</v>
      </c>
      <c r="D295" s="4">
        <f>35.8003 * CHOOSE(CONTROL!$C$9, $C$13, 100%, $E$13) + CHOOSE(CONTROL!$C$28, 0, 0)</f>
        <v>35.8003</v>
      </c>
      <c r="E295" s="4">
        <f>163.547014110058 * CHOOSE(CONTROL!$C$9, $C$13, 100%, $E$13) + CHOOSE(CONTROL!$C$28, 0, 0)</f>
        <v>163.547014110058</v>
      </c>
    </row>
    <row r="296" spans="1:5" ht="15">
      <c r="A296" s="13">
        <v>50525</v>
      </c>
      <c r="B296" s="4">
        <f>26.9382 * CHOOSE(CONTROL!$C$9, $C$13, 100%, $E$13) + CHOOSE(CONTROL!$C$28, 0.0003, 0)</f>
        <v>26.938499999999998</v>
      </c>
      <c r="C296" s="4">
        <f>26.5749 * CHOOSE(CONTROL!$C$9, $C$13, 100%, $E$13) + CHOOSE(CONTROL!$C$28, 0.0003, 0)</f>
        <v>26.575199999999999</v>
      </c>
      <c r="D296" s="4">
        <f>36.7911 * CHOOSE(CONTROL!$C$9, $C$13, 100%, $E$13) + CHOOSE(CONTROL!$C$28, 0, 0)</f>
        <v>36.7911</v>
      </c>
      <c r="E296" s="4">
        <f>170.218193673998 * CHOOSE(CONTROL!$C$9, $C$13, 100%, $E$13) + CHOOSE(CONTROL!$C$28, 0, 0)</f>
        <v>170.218193673998</v>
      </c>
    </row>
    <row r="297" spans="1:5" ht="15">
      <c r="A297" s="13">
        <v>50556</v>
      </c>
      <c r="B297" s="4">
        <f>27.5647 * CHOOSE(CONTROL!$C$9, $C$13, 100%, $E$13) + CHOOSE(CONTROL!$C$28, 0.013, 0)</f>
        <v>27.5777</v>
      </c>
      <c r="C297" s="4">
        <f>27.2015 * CHOOSE(CONTROL!$C$9, $C$13, 100%, $E$13) + CHOOSE(CONTROL!$C$28, 0.013, 0)</f>
        <v>27.214500000000001</v>
      </c>
      <c r="D297" s="4">
        <f>36.3996 * CHOOSE(CONTROL!$C$9, $C$13, 100%, $E$13) + CHOOSE(CONTROL!$C$28, 0, 0)</f>
        <v>36.3996</v>
      </c>
      <c r="E297" s="4">
        <f>174.294124501705 * CHOOSE(CONTROL!$C$9, $C$13, 100%, $E$13) + CHOOSE(CONTROL!$C$28, 0, 0)</f>
        <v>174.294124501705</v>
      </c>
    </row>
    <row r="298" spans="1:5" ht="15">
      <c r="A298" s="13">
        <v>50586</v>
      </c>
      <c r="B298" s="4">
        <f>27.6495 * CHOOSE(CONTROL!$C$9, $C$13, 100%, $E$13) + CHOOSE(CONTROL!$C$28, 0.013, 0)</f>
        <v>27.662500000000001</v>
      </c>
      <c r="C298" s="4">
        <f>27.2862 * CHOOSE(CONTROL!$C$9, $C$13, 100%, $E$13) + CHOOSE(CONTROL!$C$28, 0.013, 0)</f>
        <v>27.299200000000003</v>
      </c>
      <c r="D298" s="4">
        <f>36.7184 * CHOOSE(CONTROL!$C$9, $C$13, 100%, $E$13) + CHOOSE(CONTROL!$C$28, 0, 0)</f>
        <v>36.718400000000003</v>
      </c>
      <c r="E298" s="4">
        <f>174.845614858154 * CHOOSE(CONTROL!$C$9, $C$13, 100%, $E$13) + CHOOSE(CONTROL!$C$28, 0, 0)</f>
        <v>174.84561485815399</v>
      </c>
    </row>
    <row r="299" spans="1:5" ht="15">
      <c r="A299" s="13">
        <v>50617</v>
      </c>
      <c r="B299" s="4">
        <f>27.641 * CHOOSE(CONTROL!$C$9, $C$13, 100%, $E$13) + CHOOSE(CONTROL!$C$28, 0.013, 0)</f>
        <v>27.654</v>
      </c>
      <c r="C299" s="4">
        <f>27.2777 * CHOOSE(CONTROL!$C$9, $C$13, 100%, $E$13) + CHOOSE(CONTROL!$C$28, 0.013, 0)</f>
        <v>27.290700000000001</v>
      </c>
      <c r="D299" s="4">
        <f>37.2937 * CHOOSE(CONTROL!$C$9, $C$13, 100%, $E$13) + CHOOSE(CONTROL!$C$28, 0, 0)</f>
        <v>37.293700000000001</v>
      </c>
      <c r="E299" s="4">
        <f>174.790002385235 * CHOOSE(CONTROL!$C$9, $C$13, 100%, $E$13) + CHOOSE(CONTROL!$C$28, 0, 0)</f>
        <v>174.790002385235</v>
      </c>
    </row>
    <row r="300" spans="1:5" ht="15">
      <c r="A300" s="13">
        <v>50648</v>
      </c>
      <c r="B300" s="4">
        <f>28.2842 * CHOOSE(CONTROL!$C$9, $C$13, 100%, $E$13) + CHOOSE(CONTROL!$C$28, 0.013, 0)</f>
        <v>28.2972</v>
      </c>
      <c r="C300" s="4">
        <f>27.9209 * CHOOSE(CONTROL!$C$9, $C$13, 100%, $E$13) + CHOOSE(CONTROL!$C$28, 0.013, 0)</f>
        <v>27.933900000000001</v>
      </c>
      <c r="D300" s="4">
        <f>36.9138 * CHOOSE(CONTROL!$C$9, $C$13, 100%, $E$13) + CHOOSE(CONTROL!$C$28, 0, 0)</f>
        <v>36.913800000000002</v>
      </c>
      <c r="E300" s="4">
        <f>178.974840972409 * CHOOSE(CONTROL!$C$9, $C$13, 100%, $E$13) + CHOOSE(CONTROL!$C$28, 0, 0)</f>
        <v>178.974840972409</v>
      </c>
    </row>
    <row r="301" spans="1:5" ht="15">
      <c r="A301" s="13">
        <v>50678</v>
      </c>
      <c r="B301" s="4">
        <f>27.1879 * CHOOSE(CONTROL!$C$9, $C$13, 100%, $E$13) + CHOOSE(CONTROL!$C$28, 0.013, 0)</f>
        <v>27.200900000000001</v>
      </c>
      <c r="C301" s="4">
        <f>26.8246 * CHOOSE(CONTROL!$C$9, $C$13, 100%, $E$13) + CHOOSE(CONTROL!$C$28, 0.013, 0)</f>
        <v>26.837600000000002</v>
      </c>
      <c r="D301" s="4">
        <f>36.7343 * CHOOSE(CONTROL!$C$9, $C$13, 100%, $E$13) + CHOOSE(CONTROL!$C$28, 0, 0)</f>
        <v>36.734299999999998</v>
      </c>
      <c r="E301" s="4">
        <f>171.842541320514 * CHOOSE(CONTROL!$C$9, $C$13, 100%, $E$13) + CHOOSE(CONTROL!$C$28, 0, 0)</f>
        <v>171.84254132051399</v>
      </c>
    </row>
    <row r="302" spans="1:5" ht="15">
      <c r="A302" s="13">
        <v>50709</v>
      </c>
      <c r="B302" s="4">
        <f>26.3103 * CHOOSE(CONTROL!$C$9, $C$13, 100%, $E$13) + CHOOSE(CONTROL!$C$28, 0.0003, 0)</f>
        <v>26.310600000000001</v>
      </c>
      <c r="C302" s="4">
        <f>25.947 * CHOOSE(CONTROL!$C$9, $C$13, 100%, $E$13) + CHOOSE(CONTROL!$C$28, 0.0003, 0)</f>
        <v>25.947299999999998</v>
      </c>
      <c r="D302" s="4">
        <f>36.2536 * CHOOSE(CONTROL!$C$9, $C$13, 100%, $E$13) + CHOOSE(CONTROL!$C$28, 0, 0)</f>
        <v>36.253599999999999</v>
      </c>
      <c r="E302" s="4">
        <f>166.132994100804 * CHOOSE(CONTROL!$C$9, $C$13, 100%, $E$13) + CHOOSE(CONTROL!$C$28, 0, 0)</f>
        <v>166.13299410080401</v>
      </c>
    </row>
    <row r="303" spans="1:5" ht="15">
      <c r="A303" s="13">
        <v>50739</v>
      </c>
      <c r="B303" s="4">
        <f>25.745 * CHOOSE(CONTROL!$C$9, $C$13, 100%, $E$13) + CHOOSE(CONTROL!$C$28, 0.0003, 0)</f>
        <v>25.7453</v>
      </c>
      <c r="C303" s="4">
        <f>25.3817 * CHOOSE(CONTROL!$C$9, $C$13, 100%, $E$13) + CHOOSE(CONTROL!$C$28, 0.0003, 0)</f>
        <v>25.381999999999998</v>
      </c>
      <c r="D303" s="4">
        <f>36.0884 * CHOOSE(CONTROL!$C$9, $C$13, 100%, $E$13) + CHOOSE(CONTROL!$C$28, 0, 0)</f>
        <v>36.0884</v>
      </c>
      <c r="E303" s="4">
        <f>162.455619329017 * CHOOSE(CONTROL!$C$9, $C$13, 100%, $E$13) + CHOOSE(CONTROL!$C$28, 0, 0)</f>
        <v>162.455619329017</v>
      </c>
    </row>
    <row r="304" spans="1:5" ht="15">
      <c r="A304" s="13">
        <v>50770</v>
      </c>
      <c r="B304" s="4">
        <f>25.3539 * CHOOSE(CONTROL!$C$9, $C$13, 100%, $E$13) + CHOOSE(CONTROL!$C$28, 0.0003, 0)</f>
        <v>25.354199999999999</v>
      </c>
      <c r="C304" s="4">
        <f>24.9906 * CHOOSE(CONTROL!$C$9, $C$13, 100%, $E$13) + CHOOSE(CONTROL!$C$28, 0.0003, 0)</f>
        <v>24.9909</v>
      </c>
      <c r="D304" s="4">
        <f>34.8718 * CHOOSE(CONTROL!$C$9, $C$13, 100%, $E$13) + CHOOSE(CONTROL!$C$28, 0, 0)</f>
        <v>34.8718</v>
      </c>
      <c r="E304" s="4">
        <f>159.911348692961 * CHOOSE(CONTROL!$C$9, $C$13, 100%, $E$13) + CHOOSE(CONTROL!$C$28, 0, 0)</f>
        <v>159.91134869296101</v>
      </c>
    </row>
    <row r="305" spans="1:5" ht="15">
      <c r="A305" s="13">
        <v>50801</v>
      </c>
      <c r="B305" s="4">
        <f>24.2839 * CHOOSE(CONTROL!$C$9, $C$13, 100%, $E$13) + CHOOSE(CONTROL!$C$28, 0.0003, 0)</f>
        <v>24.284199999999998</v>
      </c>
      <c r="C305" s="4">
        <f>23.9206 * CHOOSE(CONTROL!$C$9, $C$13, 100%, $E$13) + CHOOSE(CONTROL!$C$28, 0.0003, 0)</f>
        <v>23.9209</v>
      </c>
      <c r="D305" s="4">
        <f>33.5317 * CHOOSE(CONTROL!$C$9, $C$13, 100%, $E$13) + CHOOSE(CONTROL!$C$28, 0, 0)</f>
        <v>33.531700000000001</v>
      </c>
      <c r="E305" s="4">
        <f>153.250391234507 * CHOOSE(CONTROL!$C$9, $C$13, 100%, $E$13) + CHOOSE(CONTROL!$C$28, 0, 0)</f>
        <v>153.25039123450699</v>
      </c>
    </row>
    <row r="306" spans="1:5" ht="15">
      <c r="A306" s="13">
        <v>50829</v>
      </c>
      <c r="B306" s="4">
        <f>24.8421 * CHOOSE(CONTROL!$C$9, $C$13, 100%, $E$13) + CHOOSE(CONTROL!$C$28, 0.0003, 0)</f>
        <v>24.842399999999998</v>
      </c>
      <c r="C306" s="4">
        <f>24.4789 * CHOOSE(CONTROL!$C$9, $C$13, 100%, $E$13) + CHOOSE(CONTROL!$C$28, 0.0003, 0)</f>
        <v>24.479199999999999</v>
      </c>
      <c r="D306" s="4">
        <f>34.6498 * CHOOSE(CONTROL!$C$9, $C$13, 100%, $E$13) + CHOOSE(CONTROL!$C$28, 0, 0)</f>
        <v>34.649799999999999</v>
      </c>
      <c r="E306" s="4">
        <f>156.889159468328 * CHOOSE(CONTROL!$C$9, $C$13, 100%, $E$13) + CHOOSE(CONTROL!$C$28, 0, 0)</f>
        <v>156.88915946832799</v>
      </c>
    </row>
    <row r="307" spans="1:5" ht="15">
      <c r="A307" s="13">
        <v>50860</v>
      </c>
      <c r="B307" s="4">
        <f>26.3081 * CHOOSE(CONTROL!$C$9, $C$13, 100%, $E$13) + CHOOSE(CONTROL!$C$28, 0.0003, 0)</f>
        <v>26.308399999999999</v>
      </c>
      <c r="C307" s="4">
        <f>25.9448 * CHOOSE(CONTROL!$C$9, $C$13, 100%, $E$13) + CHOOSE(CONTROL!$C$28, 0.0003, 0)</f>
        <v>25.9451</v>
      </c>
      <c r="D307" s="4">
        <f>36.4001 * CHOOSE(CONTROL!$C$9, $C$13, 100%, $E$13) + CHOOSE(CONTROL!$C$28, 0, 0)</f>
        <v>36.400100000000002</v>
      </c>
      <c r="E307" s="4">
        <f>166.444758226229 * CHOOSE(CONTROL!$C$9, $C$13, 100%, $E$13) + CHOOSE(CONTROL!$C$28, 0, 0)</f>
        <v>166.444758226229</v>
      </c>
    </row>
    <row r="308" spans="1:5" ht="15">
      <c r="A308" s="13">
        <v>50890</v>
      </c>
      <c r="B308" s="4">
        <f>27.3497 * CHOOSE(CONTROL!$C$9, $C$13, 100%, $E$13) + CHOOSE(CONTROL!$C$28, 0.0003, 0)</f>
        <v>27.349999999999998</v>
      </c>
      <c r="C308" s="4">
        <f>26.9864 * CHOOSE(CONTROL!$C$9, $C$13, 100%, $E$13) + CHOOSE(CONTROL!$C$28, 0.0003, 0)</f>
        <v>26.986699999999999</v>
      </c>
      <c r="D308" s="4">
        <f>37.4084 * CHOOSE(CONTROL!$C$9, $C$13, 100%, $E$13) + CHOOSE(CONTROL!$C$28, 0, 0)</f>
        <v>37.4084</v>
      </c>
      <c r="E308" s="4">
        <f>173.234138488815 * CHOOSE(CONTROL!$C$9, $C$13, 100%, $E$13) + CHOOSE(CONTROL!$C$28, 0, 0)</f>
        <v>173.23413848881501</v>
      </c>
    </row>
    <row r="309" spans="1:5" ht="15">
      <c r="A309" s="13">
        <v>50921</v>
      </c>
      <c r="B309" s="4">
        <f>27.986 * CHOOSE(CONTROL!$C$9, $C$13, 100%, $E$13) + CHOOSE(CONTROL!$C$28, 0.013, 0)</f>
        <v>27.999000000000002</v>
      </c>
      <c r="C309" s="4">
        <f>27.6227 * CHOOSE(CONTROL!$C$9, $C$13, 100%, $E$13) + CHOOSE(CONTROL!$C$28, 0.013, 0)</f>
        <v>27.6357</v>
      </c>
      <c r="D309" s="4">
        <f>37.01 * CHOOSE(CONTROL!$C$9, $C$13, 100%, $E$13) + CHOOSE(CONTROL!$C$28, 0, 0)</f>
        <v>37.01</v>
      </c>
      <c r="E309" s="4">
        <f>177.38228711052 * CHOOSE(CONTROL!$C$9, $C$13, 100%, $E$13) + CHOOSE(CONTROL!$C$28, 0, 0)</f>
        <v>177.38228711052</v>
      </c>
    </row>
    <row r="310" spans="1:5" ht="15">
      <c r="A310" s="13">
        <v>50951</v>
      </c>
      <c r="B310" s="4">
        <f>28.0721 * CHOOSE(CONTROL!$C$9, $C$13, 100%, $E$13) + CHOOSE(CONTROL!$C$28, 0.013, 0)</f>
        <v>28.085100000000001</v>
      </c>
      <c r="C310" s="4">
        <f>27.7088 * CHOOSE(CONTROL!$C$9, $C$13, 100%, $E$13) + CHOOSE(CONTROL!$C$28, 0.013, 0)</f>
        <v>27.721800000000002</v>
      </c>
      <c r="D310" s="4">
        <f>37.3344 * CHOOSE(CONTROL!$C$9, $C$13, 100%, $E$13) + CHOOSE(CONTROL!$C$28, 0, 0)</f>
        <v>37.334400000000002</v>
      </c>
      <c r="E310" s="4">
        <f>177.943548834207 * CHOOSE(CONTROL!$C$9, $C$13, 100%, $E$13) + CHOOSE(CONTROL!$C$28, 0, 0)</f>
        <v>177.94354883420701</v>
      </c>
    </row>
    <row r="311" spans="1:5" ht="15">
      <c r="A311" s="13">
        <v>50982</v>
      </c>
      <c r="B311" s="4">
        <f>28.0634 * CHOOSE(CONTROL!$C$9, $C$13, 100%, $E$13) + CHOOSE(CONTROL!$C$28, 0.013, 0)</f>
        <v>28.076400000000003</v>
      </c>
      <c r="C311" s="4">
        <f>27.7002 * CHOOSE(CONTROL!$C$9, $C$13, 100%, $E$13) + CHOOSE(CONTROL!$C$28, 0.013, 0)</f>
        <v>27.713200000000001</v>
      </c>
      <c r="D311" s="4">
        <f>37.9199 * CHOOSE(CONTROL!$C$9, $C$13, 100%, $E$13) + CHOOSE(CONTROL!$C$28, 0, 0)</f>
        <v>37.919899999999998</v>
      </c>
      <c r="E311" s="4">
        <f>177.886951013331 * CHOOSE(CONTROL!$C$9, $C$13, 100%, $E$13) + CHOOSE(CONTROL!$C$28, 0, 0)</f>
        <v>177.88695101333099</v>
      </c>
    </row>
    <row r="312" spans="1:5" ht="15">
      <c r="A312" s="13">
        <v>51013</v>
      </c>
      <c r="B312" s="4">
        <f>28.7168 * CHOOSE(CONTROL!$C$9, $C$13, 100%, $E$13) + CHOOSE(CONTROL!$C$28, 0.013, 0)</f>
        <v>28.729800000000001</v>
      </c>
      <c r="C312" s="4">
        <f>28.3535 * CHOOSE(CONTROL!$C$9, $C$13, 100%, $E$13) + CHOOSE(CONTROL!$C$28, 0.013, 0)</f>
        <v>28.366500000000002</v>
      </c>
      <c r="D312" s="4">
        <f>37.5333 * CHOOSE(CONTROL!$C$9, $C$13, 100%, $E$13) + CHOOSE(CONTROL!$C$28, 0, 0)</f>
        <v>37.533299999999997</v>
      </c>
      <c r="E312" s="4">
        <f>182.145937034252 * CHOOSE(CONTROL!$C$9, $C$13, 100%, $E$13) + CHOOSE(CONTROL!$C$28, 0, 0)</f>
        <v>182.145937034252</v>
      </c>
    </row>
    <row r="313" spans="1:5" ht="15">
      <c r="A313" s="13">
        <v>51043</v>
      </c>
      <c r="B313" s="4">
        <f>27.6033 * CHOOSE(CONTROL!$C$9, $C$13, 100%, $E$13) + CHOOSE(CONTROL!$C$28, 0.013, 0)</f>
        <v>27.616300000000003</v>
      </c>
      <c r="C313" s="4">
        <f>27.24 * CHOOSE(CONTROL!$C$9, $C$13, 100%, $E$13) + CHOOSE(CONTROL!$C$28, 0.013, 0)</f>
        <v>27.253</v>
      </c>
      <c r="D313" s="4">
        <f>37.3506 * CHOOSE(CONTROL!$C$9, $C$13, 100%, $E$13) + CHOOSE(CONTROL!$C$28, 0, 0)</f>
        <v>37.3506</v>
      </c>
      <c r="E313" s="4">
        <f>174.887266506902 * CHOOSE(CONTROL!$C$9, $C$13, 100%, $E$13) + CHOOSE(CONTROL!$C$28, 0, 0)</f>
        <v>174.88726650690199</v>
      </c>
    </row>
    <row r="314" spans="1:5" ht="15">
      <c r="A314" s="13">
        <v>51074</v>
      </c>
      <c r="B314" s="4">
        <f>26.7118 * CHOOSE(CONTROL!$C$9, $C$13, 100%, $E$13) + CHOOSE(CONTROL!$C$28, 0.0003, 0)</f>
        <v>26.7121</v>
      </c>
      <c r="C314" s="4">
        <f>26.3485 * CHOOSE(CONTROL!$C$9, $C$13, 100%, $E$13) + CHOOSE(CONTROL!$C$28, 0.0003, 0)</f>
        <v>26.348800000000001</v>
      </c>
      <c r="D314" s="4">
        <f>36.8615 * CHOOSE(CONTROL!$C$9, $C$13, 100%, $E$13) + CHOOSE(CONTROL!$C$28, 0, 0)</f>
        <v>36.861499999999999</v>
      </c>
      <c r="E314" s="4">
        <f>169.076556896964 * CHOOSE(CONTROL!$C$9, $C$13, 100%, $E$13) + CHOOSE(CONTROL!$C$28, 0, 0)</f>
        <v>169.07655689696401</v>
      </c>
    </row>
    <row r="315" spans="1:5" ht="15">
      <c r="A315" s="13">
        <v>51104</v>
      </c>
      <c r="B315" s="4">
        <f>26.1377 * CHOOSE(CONTROL!$C$9, $C$13, 100%, $E$13) + CHOOSE(CONTROL!$C$28, 0.0003, 0)</f>
        <v>26.137999999999998</v>
      </c>
      <c r="C315" s="4">
        <f>25.7744 * CHOOSE(CONTROL!$C$9, $C$13, 100%, $E$13) + CHOOSE(CONTROL!$C$28, 0.0003, 0)</f>
        <v>25.774699999999999</v>
      </c>
      <c r="D315" s="4">
        <f>36.6933 * CHOOSE(CONTROL!$C$9, $C$13, 100%, $E$13) + CHOOSE(CONTROL!$C$28, 0, 0)</f>
        <v>36.693300000000001</v>
      </c>
      <c r="E315" s="4">
        <f>165.334025991537 * CHOOSE(CONTROL!$C$9, $C$13, 100%, $E$13) + CHOOSE(CONTROL!$C$28, 0, 0)</f>
        <v>165.334025991537</v>
      </c>
    </row>
    <row r="316" spans="1:5" ht="15">
      <c r="A316" s="13">
        <v>51135</v>
      </c>
      <c r="B316" s="4">
        <f>25.7404 * CHOOSE(CONTROL!$C$9, $C$13, 100%, $E$13) + CHOOSE(CONTROL!$C$28, 0.0003, 0)</f>
        <v>25.7407</v>
      </c>
      <c r="C316" s="4">
        <f>25.3772 * CHOOSE(CONTROL!$C$9, $C$13, 100%, $E$13) + CHOOSE(CONTROL!$C$28, 0.0003, 0)</f>
        <v>25.377499999999998</v>
      </c>
      <c r="D316" s="4">
        <f>35.4552 * CHOOSE(CONTROL!$C$9, $C$13, 100%, $E$13) + CHOOSE(CONTROL!$C$28, 0, 0)</f>
        <v>35.455199999999998</v>
      </c>
      <c r="E316" s="4">
        <f>162.744675686459 * CHOOSE(CONTROL!$C$9, $C$13, 100%, $E$13) + CHOOSE(CONTROL!$C$28, 0, 0)</f>
        <v>162.744675686459</v>
      </c>
    </row>
    <row r="317" spans="1:5" ht="15">
      <c r="A317" s="13">
        <v>51166</v>
      </c>
      <c r="B317" s="4">
        <f>24.6536 * CHOOSE(CONTROL!$C$9, $C$13, 100%, $E$13) + CHOOSE(CONTROL!$C$28, 0.0003, 0)</f>
        <v>24.6539</v>
      </c>
      <c r="C317" s="4">
        <f>24.2903 * CHOOSE(CONTROL!$C$9, $C$13, 100%, $E$13) + CHOOSE(CONTROL!$C$28, 0.0003, 0)</f>
        <v>24.290599999999998</v>
      </c>
      <c r="D317" s="4">
        <f>34.0914 * CHOOSE(CONTROL!$C$9, $C$13, 100%, $E$13) + CHOOSE(CONTROL!$C$28, 0, 0)</f>
        <v>34.0914</v>
      </c>
      <c r="E317" s="4">
        <f>155.965698645756 * CHOOSE(CONTROL!$C$9, $C$13, 100%, $E$13) + CHOOSE(CONTROL!$C$28, 0, 0)</f>
        <v>155.96569864575599</v>
      </c>
    </row>
    <row r="318" spans="1:5" ht="15">
      <c r="A318" s="13">
        <v>51194</v>
      </c>
      <c r="B318" s="4">
        <f>25.2206 * CHOOSE(CONTROL!$C$9, $C$13, 100%, $E$13) + CHOOSE(CONTROL!$C$28, 0.0003, 0)</f>
        <v>25.2209</v>
      </c>
      <c r="C318" s="4">
        <f>24.8573 * CHOOSE(CONTROL!$C$9, $C$13, 100%, $E$13) + CHOOSE(CONTROL!$C$28, 0.0003, 0)</f>
        <v>24.857599999999998</v>
      </c>
      <c r="D318" s="4">
        <f>35.2293 * CHOOSE(CONTROL!$C$9, $C$13, 100%, $E$13) + CHOOSE(CONTROL!$C$28, 0, 0)</f>
        <v>35.229300000000002</v>
      </c>
      <c r="E318" s="4">
        <f>159.6689389783 * CHOOSE(CONTROL!$C$9, $C$13, 100%, $E$13) + CHOOSE(CONTROL!$C$28, 0, 0)</f>
        <v>159.66893897829999</v>
      </c>
    </row>
    <row r="319" spans="1:5" ht="15">
      <c r="A319" s="13">
        <v>51226</v>
      </c>
      <c r="B319" s="4">
        <f>26.7096 * CHOOSE(CONTROL!$C$9, $C$13, 100%, $E$13) + CHOOSE(CONTROL!$C$28, 0.0003, 0)</f>
        <v>26.709899999999998</v>
      </c>
      <c r="C319" s="4">
        <f>26.3463 * CHOOSE(CONTROL!$C$9, $C$13, 100%, $E$13) + CHOOSE(CONTROL!$C$28, 0.0003, 0)</f>
        <v>26.346599999999999</v>
      </c>
      <c r="D319" s="4">
        <f>37.0106 * CHOOSE(CONTROL!$C$9, $C$13, 100%, $E$13) + CHOOSE(CONTROL!$C$28, 0, 0)</f>
        <v>37.010599999999997</v>
      </c>
      <c r="E319" s="4">
        <f>169.393844893705 * CHOOSE(CONTROL!$C$9, $C$13, 100%, $E$13) + CHOOSE(CONTROL!$C$28, 0, 0)</f>
        <v>169.39384489370499</v>
      </c>
    </row>
    <row r="320" spans="1:5" ht="15">
      <c r="A320" s="13">
        <v>51256</v>
      </c>
      <c r="B320" s="4">
        <f>27.7676 * CHOOSE(CONTROL!$C$9, $C$13, 100%, $E$13) + CHOOSE(CONTROL!$C$28, 0.0003, 0)</f>
        <v>27.767900000000001</v>
      </c>
      <c r="C320" s="4">
        <f>27.4043 * CHOOSE(CONTROL!$C$9, $C$13, 100%, $E$13) + CHOOSE(CONTROL!$C$28, 0.0003, 0)</f>
        <v>27.404599999999999</v>
      </c>
      <c r="D320" s="4">
        <f>38.0366 * CHOOSE(CONTROL!$C$9, $C$13, 100%, $E$13) + CHOOSE(CONTROL!$C$28, 0, 0)</f>
        <v>38.0366</v>
      </c>
      <c r="E320" s="4">
        <f>176.303520148012 * CHOOSE(CONTROL!$C$9, $C$13, 100%, $E$13) + CHOOSE(CONTROL!$C$28, 0, 0)</f>
        <v>176.30352014801201</v>
      </c>
    </row>
    <row r="321" spans="1:5" ht="15">
      <c r="A321" s="13">
        <v>51287</v>
      </c>
      <c r="B321" s="4">
        <f>28.4139 * CHOOSE(CONTROL!$C$9, $C$13, 100%, $E$13) + CHOOSE(CONTROL!$C$28, 0.013, 0)</f>
        <v>28.426900000000003</v>
      </c>
      <c r="C321" s="4">
        <f>28.0507 * CHOOSE(CONTROL!$C$9, $C$13, 100%, $E$13) + CHOOSE(CONTROL!$C$28, 0.013, 0)</f>
        <v>28.063700000000001</v>
      </c>
      <c r="D321" s="4">
        <f>37.6312 * CHOOSE(CONTROL!$C$9, $C$13, 100%, $E$13) + CHOOSE(CONTROL!$C$28, 0, 0)</f>
        <v>37.6312</v>
      </c>
      <c r="E321" s="4">
        <f>180.52516612659 * CHOOSE(CONTROL!$C$9, $C$13, 100%, $E$13) + CHOOSE(CONTROL!$C$28, 0, 0)</f>
        <v>180.52516612658999</v>
      </c>
    </row>
    <row r="322" spans="1:5" ht="15">
      <c r="A322" s="13">
        <v>51317</v>
      </c>
      <c r="B322" s="4">
        <f>28.5014 * CHOOSE(CONTROL!$C$9, $C$13, 100%, $E$13) + CHOOSE(CONTROL!$C$28, 0.013, 0)</f>
        <v>28.514400000000002</v>
      </c>
      <c r="C322" s="4">
        <f>28.1381 * CHOOSE(CONTROL!$C$9, $C$13, 100%, $E$13) + CHOOSE(CONTROL!$C$28, 0.013, 0)</f>
        <v>28.151100000000003</v>
      </c>
      <c r="D322" s="4">
        <f>37.9614 * CHOOSE(CONTROL!$C$9, $C$13, 100%, $E$13) + CHOOSE(CONTROL!$C$28, 0, 0)</f>
        <v>37.961399999999998</v>
      </c>
      <c r="E322" s="4">
        <f>181.096372347683 * CHOOSE(CONTROL!$C$9, $C$13, 100%, $E$13) + CHOOSE(CONTROL!$C$28, 0, 0)</f>
        <v>181.096372347683</v>
      </c>
    </row>
    <row r="323" spans="1:5" ht="15">
      <c r="A323" s="13">
        <v>51348</v>
      </c>
      <c r="B323" s="4">
        <f>28.4926 * CHOOSE(CONTROL!$C$9, $C$13, 100%, $E$13) + CHOOSE(CONTROL!$C$28, 0.013, 0)</f>
        <v>28.505600000000001</v>
      </c>
      <c r="C323" s="4">
        <f>28.1293 * CHOOSE(CONTROL!$C$9, $C$13, 100%, $E$13) + CHOOSE(CONTROL!$C$28, 0.013, 0)</f>
        <v>28.142300000000002</v>
      </c>
      <c r="D323" s="4">
        <f>38.5572 * CHOOSE(CONTROL!$C$9, $C$13, 100%, $E$13) + CHOOSE(CONTROL!$C$28, 0, 0)</f>
        <v>38.557200000000002</v>
      </c>
      <c r="E323" s="4">
        <f>181.038771720346 * CHOOSE(CONTROL!$C$9, $C$13, 100%, $E$13) + CHOOSE(CONTROL!$C$28, 0, 0)</f>
        <v>181.03877172034601</v>
      </c>
    </row>
    <row r="324" spans="1:5" ht="15">
      <c r="A324" s="13">
        <v>51379</v>
      </c>
      <c r="B324" s="4">
        <f>29.1562 * CHOOSE(CONTROL!$C$9, $C$13, 100%, $E$13) + CHOOSE(CONTROL!$C$28, 0.013, 0)</f>
        <v>29.1692</v>
      </c>
      <c r="C324" s="4">
        <f>28.793 * CHOOSE(CONTROL!$C$9, $C$13, 100%, $E$13) + CHOOSE(CONTROL!$C$28, 0.013, 0)</f>
        <v>28.806000000000001</v>
      </c>
      <c r="D324" s="4">
        <f>38.1637 * CHOOSE(CONTROL!$C$9, $C$13, 100%, $E$13) + CHOOSE(CONTROL!$C$28, 0, 0)</f>
        <v>38.163699999999999</v>
      </c>
      <c r="E324" s="4">
        <f>185.373218927459 * CHOOSE(CONTROL!$C$9, $C$13, 100%, $E$13) + CHOOSE(CONTROL!$C$28, 0, 0)</f>
        <v>185.37321892745899</v>
      </c>
    </row>
    <row r="325" spans="1:5" ht="15">
      <c r="A325" s="13">
        <v>51409</v>
      </c>
      <c r="B325" s="4">
        <f>28.0252 * CHOOSE(CONTROL!$C$9, $C$13, 100%, $E$13) + CHOOSE(CONTROL!$C$28, 0.013, 0)</f>
        <v>28.038200000000003</v>
      </c>
      <c r="C325" s="4">
        <f>27.6619 * CHOOSE(CONTROL!$C$9, $C$13, 100%, $E$13) + CHOOSE(CONTROL!$C$28, 0.013, 0)</f>
        <v>27.674900000000001</v>
      </c>
      <c r="D325" s="4">
        <f>37.9778 * CHOOSE(CONTROL!$C$9, $C$13, 100%, $E$13) + CHOOSE(CONTROL!$C$28, 0, 0)</f>
        <v>37.977800000000002</v>
      </c>
      <c r="E325" s="4">
        <f>177.985938471482 * CHOOSE(CONTROL!$C$9, $C$13, 100%, $E$13) + CHOOSE(CONTROL!$C$28, 0, 0)</f>
        <v>177.985938471482</v>
      </c>
    </row>
    <row r="326" spans="1:5" ht="15">
      <c r="A326" s="13">
        <v>51440</v>
      </c>
      <c r="B326" s="4">
        <f>27.1197 * CHOOSE(CONTROL!$C$9, $C$13, 100%, $E$13) + CHOOSE(CONTROL!$C$28, 0.0003, 0)</f>
        <v>27.12</v>
      </c>
      <c r="C326" s="4">
        <f>26.7564 * CHOOSE(CONTROL!$C$9, $C$13, 100%, $E$13) + CHOOSE(CONTROL!$C$28, 0.0003, 0)</f>
        <v>26.756699999999999</v>
      </c>
      <c r="D326" s="4">
        <f>37.48 * CHOOSE(CONTROL!$C$9, $C$13, 100%, $E$13) + CHOOSE(CONTROL!$C$28, 0, 0)</f>
        <v>37.479999999999997</v>
      </c>
      <c r="E326" s="4">
        <f>172.072274064878 * CHOOSE(CONTROL!$C$9, $C$13, 100%, $E$13) + CHOOSE(CONTROL!$C$28, 0, 0)</f>
        <v>172.072274064878</v>
      </c>
    </row>
    <row r="327" spans="1:5" ht="15">
      <c r="A327" s="13">
        <v>51470</v>
      </c>
      <c r="B327" s="4">
        <f>26.5365 * CHOOSE(CONTROL!$C$9, $C$13, 100%, $E$13) + CHOOSE(CONTROL!$C$28, 0.0003, 0)</f>
        <v>26.536799999999999</v>
      </c>
      <c r="C327" s="4">
        <f>26.1732 * CHOOSE(CONTROL!$C$9, $C$13, 100%, $E$13) + CHOOSE(CONTROL!$C$28, 0.0003, 0)</f>
        <v>26.173500000000001</v>
      </c>
      <c r="D327" s="4">
        <f>37.3089 * CHOOSE(CONTROL!$C$9, $C$13, 100%, $E$13) + CHOOSE(CONTROL!$C$28, 0, 0)</f>
        <v>37.308900000000001</v>
      </c>
      <c r="E327" s="4">
        <f>168.263432582216 * CHOOSE(CONTROL!$C$9, $C$13, 100%, $E$13) + CHOOSE(CONTROL!$C$28, 0, 0)</f>
        <v>168.26343258221601</v>
      </c>
    </row>
    <row r="328" spans="1:5" ht="15">
      <c r="A328" s="13">
        <v>51501</v>
      </c>
      <c r="B328" s="4">
        <f>26.133 * CHOOSE(CONTROL!$C$9, $C$13, 100%, $E$13) + CHOOSE(CONTROL!$C$28, 0.0003, 0)</f>
        <v>26.133299999999998</v>
      </c>
      <c r="C328" s="4">
        <f>25.7698 * CHOOSE(CONTROL!$C$9, $C$13, 100%, $E$13) + CHOOSE(CONTROL!$C$28, 0.0003, 0)</f>
        <v>25.770099999999999</v>
      </c>
      <c r="D328" s="4">
        <f>36.049 * CHOOSE(CONTROL!$C$9, $C$13, 100%, $E$13) + CHOOSE(CONTROL!$C$28, 0, 0)</f>
        <v>36.048999999999999</v>
      </c>
      <c r="E328" s="4">
        <f>165.628203881546 * CHOOSE(CONTROL!$C$9, $C$13, 100%, $E$13) + CHOOSE(CONTROL!$C$28, 0, 0)</f>
        <v>165.628203881546</v>
      </c>
    </row>
    <row r="329" spans="1:5" ht="15">
      <c r="A329" s="13">
        <v>51532</v>
      </c>
      <c r="B329" s="4">
        <f>25.0291 * CHOOSE(CONTROL!$C$9, $C$13, 100%, $E$13) + CHOOSE(CONTROL!$C$28, 0.0003, 0)</f>
        <v>25.029399999999999</v>
      </c>
      <c r="C329" s="4">
        <f>24.6658 * CHOOSE(CONTROL!$C$9, $C$13, 100%, $E$13) + CHOOSE(CONTROL!$C$28, 0.0003, 0)</f>
        <v>24.6661</v>
      </c>
      <c r="D329" s="4">
        <f>34.6611 * CHOOSE(CONTROL!$C$9, $C$13, 100%, $E$13) + CHOOSE(CONTROL!$C$28, 0, 0)</f>
        <v>34.661099999999998</v>
      </c>
      <c r="E329" s="4">
        <f>158.72911617456 * CHOOSE(CONTROL!$C$9, $C$13, 100%, $E$13) + CHOOSE(CONTROL!$C$28, 0, 0)</f>
        <v>158.72911617456</v>
      </c>
    </row>
    <row r="330" spans="1:5" ht="15">
      <c r="A330" s="13">
        <v>51560</v>
      </c>
      <c r="B330" s="4">
        <f>25.605 * CHOOSE(CONTROL!$C$9, $C$13, 100%, $E$13) + CHOOSE(CONTROL!$C$28, 0.0003, 0)</f>
        <v>25.6053</v>
      </c>
      <c r="C330" s="4">
        <f>25.2418 * CHOOSE(CONTROL!$C$9, $C$13, 100%, $E$13) + CHOOSE(CONTROL!$C$28, 0.0003, 0)</f>
        <v>25.242100000000001</v>
      </c>
      <c r="D330" s="4">
        <f>35.819 * CHOOSE(CONTROL!$C$9, $C$13, 100%, $E$13) + CHOOSE(CONTROL!$C$28, 0, 0)</f>
        <v>35.819000000000003</v>
      </c>
      <c r="E330" s="4">
        <f>162.497970929616 * CHOOSE(CONTROL!$C$9, $C$13, 100%, $E$13) + CHOOSE(CONTROL!$C$28, 0, 0)</f>
        <v>162.497970929616</v>
      </c>
    </row>
    <row r="331" spans="1:5" ht="15">
      <c r="A331" s="13">
        <v>51591</v>
      </c>
      <c r="B331" s="4">
        <f>27.1175 * CHOOSE(CONTROL!$C$9, $C$13, 100%, $E$13) + CHOOSE(CONTROL!$C$28, 0.0003, 0)</f>
        <v>27.117799999999999</v>
      </c>
      <c r="C331" s="4">
        <f>26.7542 * CHOOSE(CONTROL!$C$9, $C$13, 100%, $E$13) + CHOOSE(CONTROL!$C$28, 0.0003, 0)</f>
        <v>26.7545</v>
      </c>
      <c r="D331" s="4">
        <f>37.6317 * CHOOSE(CONTROL!$C$9, $C$13, 100%, $E$13) + CHOOSE(CONTROL!$C$28, 0, 0)</f>
        <v>37.631700000000002</v>
      </c>
      <c r="E331" s="4">
        <f>172.3951838055 * CHOOSE(CONTROL!$C$9, $C$13, 100%, $E$13) + CHOOSE(CONTROL!$C$28, 0, 0)</f>
        <v>172.39518380550001</v>
      </c>
    </row>
    <row r="332" spans="1:5" ht="15">
      <c r="A332" s="13">
        <v>51621</v>
      </c>
      <c r="B332" s="4">
        <f>28.192 * CHOOSE(CONTROL!$C$9, $C$13, 100%, $E$13) + CHOOSE(CONTROL!$C$28, 0.0003, 0)</f>
        <v>28.192299999999999</v>
      </c>
      <c r="C332" s="4">
        <f>27.8288 * CHOOSE(CONTROL!$C$9, $C$13, 100%, $E$13) + CHOOSE(CONTROL!$C$28, 0.0003, 0)</f>
        <v>27.8291</v>
      </c>
      <c r="D332" s="4">
        <f>38.6759 * CHOOSE(CONTROL!$C$9, $C$13, 100%, $E$13) + CHOOSE(CONTROL!$C$28, 0, 0)</f>
        <v>38.675899999999999</v>
      </c>
      <c r="E332" s="4">
        <f>179.427285451519 * CHOOSE(CONTROL!$C$9, $C$13, 100%, $E$13) + CHOOSE(CONTROL!$C$28, 0, 0)</f>
        <v>179.427285451519</v>
      </c>
    </row>
    <row r="333" spans="1:5" ht="15">
      <c r="A333" s="13">
        <v>51652</v>
      </c>
      <c r="B333" s="4">
        <f>28.8486 * CHOOSE(CONTROL!$C$9, $C$13, 100%, $E$13) + CHOOSE(CONTROL!$C$28, 0.013, 0)</f>
        <v>28.861600000000003</v>
      </c>
      <c r="C333" s="4">
        <f>28.4853 * CHOOSE(CONTROL!$C$9, $C$13, 100%, $E$13) + CHOOSE(CONTROL!$C$28, 0.013, 0)</f>
        <v>28.4983</v>
      </c>
      <c r="D333" s="4">
        <f>38.2633 * CHOOSE(CONTROL!$C$9, $C$13, 100%, $E$13) + CHOOSE(CONTROL!$C$28, 0, 0)</f>
        <v>38.263300000000001</v>
      </c>
      <c r="E333" s="4">
        <f>183.723731021282 * CHOOSE(CONTROL!$C$9, $C$13, 100%, $E$13) + CHOOSE(CONTROL!$C$28, 0, 0)</f>
        <v>183.72373102128199</v>
      </c>
    </row>
    <row r="334" spans="1:5" ht="15">
      <c r="A334" s="13">
        <v>51682</v>
      </c>
      <c r="B334" s="4">
        <f>28.9374 * CHOOSE(CONTROL!$C$9, $C$13, 100%, $E$13) + CHOOSE(CONTROL!$C$28, 0.013, 0)</f>
        <v>28.950400000000002</v>
      </c>
      <c r="C334" s="4">
        <f>28.5741 * CHOOSE(CONTROL!$C$9, $C$13, 100%, $E$13) + CHOOSE(CONTROL!$C$28, 0.013, 0)</f>
        <v>28.587100000000003</v>
      </c>
      <c r="D334" s="4">
        <f>38.5994 * CHOOSE(CONTROL!$C$9, $C$13, 100%, $E$13) + CHOOSE(CONTROL!$C$28, 0, 0)</f>
        <v>38.599400000000003</v>
      </c>
      <c r="E334" s="4">
        <f>184.305057937487 * CHOOSE(CONTROL!$C$9, $C$13, 100%, $E$13) + CHOOSE(CONTROL!$C$28, 0, 0)</f>
        <v>184.30505793748699</v>
      </c>
    </row>
    <row r="335" spans="1:5" ht="15">
      <c r="A335" s="13">
        <v>51713</v>
      </c>
      <c r="B335" s="4">
        <f>28.9285 * CHOOSE(CONTROL!$C$9, $C$13, 100%, $E$13) + CHOOSE(CONTROL!$C$28, 0.013, 0)</f>
        <v>28.941500000000001</v>
      </c>
      <c r="C335" s="4">
        <f>28.5652 * CHOOSE(CONTROL!$C$9, $C$13, 100%, $E$13) + CHOOSE(CONTROL!$C$28, 0.013, 0)</f>
        <v>28.578200000000002</v>
      </c>
      <c r="D335" s="4">
        <f>39.2057 * CHOOSE(CONTROL!$C$9, $C$13, 100%, $E$13) + CHOOSE(CONTROL!$C$28, 0, 0)</f>
        <v>39.2057</v>
      </c>
      <c r="E335" s="4">
        <f>184.246436735853 * CHOOSE(CONTROL!$C$9, $C$13, 100%, $E$13) + CHOOSE(CONTROL!$C$28, 0, 0)</f>
        <v>184.246436735853</v>
      </c>
    </row>
    <row r="336" spans="1:5" ht="15">
      <c r="A336" s="13">
        <v>51744</v>
      </c>
      <c r="B336" s="4">
        <f>29.6026 * CHOOSE(CONTROL!$C$9, $C$13, 100%, $E$13) + CHOOSE(CONTROL!$C$28, 0.013, 0)</f>
        <v>29.615600000000001</v>
      </c>
      <c r="C336" s="4">
        <f>29.2393 * CHOOSE(CONTROL!$C$9, $C$13, 100%, $E$13) + CHOOSE(CONTROL!$C$28, 0.013, 0)</f>
        <v>29.252300000000002</v>
      </c>
      <c r="D336" s="4">
        <f>38.8053 * CHOOSE(CONTROL!$C$9, $C$13, 100%, $E$13) + CHOOSE(CONTROL!$C$28, 0, 0)</f>
        <v>38.805300000000003</v>
      </c>
      <c r="E336" s="4">
        <f>188.657682158816 * CHOOSE(CONTROL!$C$9, $C$13, 100%, $E$13) + CHOOSE(CONTROL!$C$28, 0, 0)</f>
        <v>188.65768215881599</v>
      </c>
    </row>
    <row r="337" spans="1:5" ht="15">
      <c r="A337" s="13">
        <v>51774</v>
      </c>
      <c r="B337" s="4">
        <f>28.4537 * CHOOSE(CONTROL!$C$9, $C$13, 100%, $E$13) + CHOOSE(CONTROL!$C$28, 0.013, 0)</f>
        <v>28.466700000000003</v>
      </c>
      <c r="C337" s="4">
        <f>28.0904 * CHOOSE(CONTROL!$C$9, $C$13, 100%, $E$13) + CHOOSE(CONTROL!$C$28, 0.013, 0)</f>
        <v>28.103400000000001</v>
      </c>
      <c r="D337" s="4">
        <f>38.6161 * CHOOSE(CONTROL!$C$9, $C$13, 100%, $E$13) + CHOOSE(CONTROL!$C$28, 0, 0)</f>
        <v>38.616100000000003</v>
      </c>
      <c r="E337" s="4">
        <f>181.139513049247 * CHOOSE(CONTROL!$C$9, $C$13, 100%, $E$13) + CHOOSE(CONTROL!$C$28, 0, 0)</f>
        <v>181.139513049247</v>
      </c>
    </row>
    <row r="338" spans="1:5" ht="15">
      <c r="A338" s="13">
        <v>51805</v>
      </c>
      <c r="B338" s="4">
        <f>27.534 * CHOOSE(CONTROL!$C$9, $C$13, 100%, $E$13) + CHOOSE(CONTROL!$C$28, 0.0003, 0)</f>
        <v>27.534299999999998</v>
      </c>
      <c r="C338" s="4">
        <f>27.1707 * CHOOSE(CONTROL!$C$9, $C$13, 100%, $E$13) + CHOOSE(CONTROL!$C$28, 0.0003, 0)</f>
        <v>27.170999999999999</v>
      </c>
      <c r="D338" s="4">
        <f>38.1095 * CHOOSE(CONTROL!$C$9, $C$13, 100%, $E$13) + CHOOSE(CONTROL!$C$28, 0, 0)</f>
        <v>38.109499999999997</v>
      </c>
      <c r="E338" s="4">
        <f>175.121069681484 * CHOOSE(CONTROL!$C$9, $C$13, 100%, $E$13) + CHOOSE(CONTROL!$C$28, 0, 0)</f>
        <v>175.12106968148399</v>
      </c>
    </row>
    <row r="339" spans="1:5" ht="15">
      <c r="A339" s="13">
        <v>51835</v>
      </c>
      <c r="B339" s="4">
        <f>26.9417 * CHOOSE(CONTROL!$C$9, $C$13, 100%, $E$13) + CHOOSE(CONTROL!$C$28, 0.0003, 0)</f>
        <v>26.942</v>
      </c>
      <c r="C339" s="4">
        <f>26.5784 * CHOOSE(CONTROL!$C$9, $C$13, 100%, $E$13) + CHOOSE(CONTROL!$C$28, 0.0003, 0)</f>
        <v>26.578699999999998</v>
      </c>
      <c r="D339" s="4">
        <f>37.9353 * CHOOSE(CONTROL!$C$9, $C$13, 100%, $E$13) + CHOOSE(CONTROL!$C$28, 0, 0)</f>
        <v>37.935299999999998</v>
      </c>
      <c r="E339" s="4">
        <f>171.244742723432 * CHOOSE(CONTROL!$C$9, $C$13, 100%, $E$13) + CHOOSE(CONTROL!$C$28, 0, 0)</f>
        <v>171.24474272343201</v>
      </c>
    </row>
    <row r="340" spans="1:5" ht="15">
      <c r="A340" s="13">
        <v>51866</v>
      </c>
      <c r="B340" s="4">
        <f>26.5318 * CHOOSE(CONTROL!$C$9, $C$13, 100%, $E$13) + CHOOSE(CONTROL!$C$28, 0.0003, 0)</f>
        <v>26.5321</v>
      </c>
      <c r="C340" s="4">
        <f>26.1685 * CHOOSE(CONTROL!$C$9, $C$13, 100%, $E$13) + CHOOSE(CONTROL!$C$28, 0.0003, 0)</f>
        <v>26.168800000000001</v>
      </c>
      <c r="D340" s="4">
        <f>36.6532 * CHOOSE(CONTROL!$C$9, $C$13, 100%, $E$13) + CHOOSE(CONTROL!$C$28, 0, 0)</f>
        <v>36.653199999999998</v>
      </c>
      <c r="E340" s="4">
        <f>168.562822748673 * CHOOSE(CONTROL!$C$9, $C$13, 100%, $E$13) + CHOOSE(CONTROL!$C$28, 0, 0)</f>
        <v>168.562822748673</v>
      </c>
    </row>
    <row r="341" spans="1:5" ht="15">
      <c r="A341" s="13">
        <v>51897</v>
      </c>
      <c r="B341" s="4">
        <f>25.4105 * CHOOSE(CONTROL!$C$9, $C$13, 100%, $E$13) + CHOOSE(CONTROL!$C$28, 0.0003, 0)</f>
        <v>25.410799999999998</v>
      </c>
      <c r="C341" s="4">
        <f>25.0473 * CHOOSE(CONTROL!$C$9, $C$13, 100%, $E$13) + CHOOSE(CONTROL!$C$28, 0.0003, 0)</f>
        <v>25.047599999999999</v>
      </c>
      <c r="D341" s="4">
        <f>35.2408 * CHOOSE(CONTROL!$C$9, $C$13, 100%, $E$13) + CHOOSE(CONTROL!$C$28, 0, 0)</f>
        <v>35.2408</v>
      </c>
      <c r="E341" s="4">
        <f>161.541496241311 * CHOOSE(CONTROL!$C$9, $C$13, 100%, $E$13) + CHOOSE(CONTROL!$C$28, 0, 0)</f>
        <v>161.54149624131099</v>
      </c>
    </row>
    <row r="342" spans="1:5" ht="15">
      <c r="A342" s="13">
        <v>51925</v>
      </c>
      <c r="B342" s="4">
        <f>25.9955 * CHOOSE(CONTROL!$C$9, $C$13, 100%, $E$13) + CHOOSE(CONTROL!$C$28, 0.0003, 0)</f>
        <v>25.995799999999999</v>
      </c>
      <c r="C342" s="4">
        <f>25.6322 * CHOOSE(CONTROL!$C$9, $C$13, 100%, $E$13) + CHOOSE(CONTROL!$C$28, 0.0003, 0)</f>
        <v>25.6325</v>
      </c>
      <c r="D342" s="4">
        <f>36.4192 * CHOOSE(CONTROL!$C$9, $C$13, 100%, $E$13) + CHOOSE(CONTROL!$C$28, 0, 0)</f>
        <v>36.419199999999996</v>
      </c>
      <c r="E342" s="4">
        <f>165.377127982487 * CHOOSE(CONTROL!$C$9, $C$13, 100%, $E$13) + CHOOSE(CONTROL!$C$28, 0, 0)</f>
        <v>165.377127982487</v>
      </c>
    </row>
    <row r="343" spans="1:5" ht="15">
      <c r="A343" s="13">
        <v>51956</v>
      </c>
      <c r="B343" s="4">
        <f>27.5317 * CHOOSE(CONTROL!$C$9, $C$13, 100%, $E$13) + CHOOSE(CONTROL!$C$28, 0.0003, 0)</f>
        <v>27.532</v>
      </c>
      <c r="C343" s="4">
        <f>27.1684 * CHOOSE(CONTROL!$C$9, $C$13, 100%, $E$13) + CHOOSE(CONTROL!$C$28, 0.0003, 0)</f>
        <v>27.168699999999998</v>
      </c>
      <c r="D343" s="4">
        <f>38.2639 * CHOOSE(CONTROL!$C$9, $C$13, 100%, $E$13) + CHOOSE(CONTROL!$C$28, 0, 0)</f>
        <v>38.2639</v>
      </c>
      <c r="E343" s="4">
        <f>175.449700772667 * CHOOSE(CONTROL!$C$9, $C$13, 100%, $E$13) + CHOOSE(CONTROL!$C$28, 0, 0)</f>
        <v>175.449700772667</v>
      </c>
    </row>
    <row r="344" spans="1:5" ht="15">
      <c r="A344" s="13">
        <v>51986</v>
      </c>
      <c r="B344" s="4">
        <f>28.6232 * CHOOSE(CONTROL!$C$9, $C$13, 100%, $E$13) + CHOOSE(CONTROL!$C$28, 0.0003, 0)</f>
        <v>28.6235</v>
      </c>
      <c r="C344" s="4">
        <f>28.2599 * CHOOSE(CONTROL!$C$9, $C$13, 100%, $E$13) + CHOOSE(CONTROL!$C$28, 0.0003, 0)</f>
        <v>28.260199999999998</v>
      </c>
      <c r="D344" s="4">
        <f>39.3265 * CHOOSE(CONTROL!$C$9, $C$13, 100%, $E$13) + CHOOSE(CONTROL!$C$28, 0, 0)</f>
        <v>39.326500000000003</v>
      </c>
      <c r="E344" s="4">
        <f>182.606397974771 * CHOOSE(CONTROL!$C$9, $C$13, 100%, $E$13) + CHOOSE(CONTROL!$C$28, 0, 0)</f>
        <v>182.606397974771</v>
      </c>
    </row>
    <row r="345" spans="1:5" ht="15">
      <c r="A345" s="13">
        <v>52017</v>
      </c>
      <c r="B345" s="4">
        <f>29.2901 * CHOOSE(CONTROL!$C$9, $C$13, 100%, $E$13) + CHOOSE(CONTROL!$C$28, 0.013, 0)</f>
        <v>29.303100000000001</v>
      </c>
      <c r="C345" s="4">
        <f>28.9268 * CHOOSE(CONTROL!$C$9, $C$13, 100%, $E$13) + CHOOSE(CONTROL!$C$28, 0.013, 0)</f>
        <v>28.939800000000002</v>
      </c>
      <c r="D345" s="4">
        <f>38.9066 * CHOOSE(CONTROL!$C$9, $C$13, 100%, $E$13) + CHOOSE(CONTROL!$C$28, 0, 0)</f>
        <v>38.906599999999997</v>
      </c>
      <c r="E345" s="4">
        <f>186.978968443163 * CHOOSE(CONTROL!$C$9, $C$13, 100%, $E$13) + CHOOSE(CONTROL!$C$28, 0, 0)</f>
        <v>186.97896844316301</v>
      </c>
    </row>
    <row r="346" spans="1:5" ht="15">
      <c r="A346" s="13">
        <v>52047</v>
      </c>
      <c r="B346" s="4">
        <f>29.3803 * CHOOSE(CONTROL!$C$9, $C$13, 100%, $E$13) + CHOOSE(CONTROL!$C$28, 0.013, 0)</f>
        <v>29.3933</v>
      </c>
      <c r="C346" s="4">
        <f>29.017 * CHOOSE(CONTROL!$C$9, $C$13, 100%, $E$13) + CHOOSE(CONTROL!$C$28, 0.013, 0)</f>
        <v>29.03</v>
      </c>
      <c r="D346" s="4">
        <f>39.2486 * CHOOSE(CONTROL!$C$9, $C$13, 100%, $E$13) + CHOOSE(CONTROL!$C$28, 0, 0)</f>
        <v>39.248600000000003</v>
      </c>
      <c r="E346" s="4">
        <f>187.570595374077 * CHOOSE(CONTROL!$C$9, $C$13, 100%, $E$13) + CHOOSE(CONTROL!$C$28, 0, 0)</f>
        <v>187.57059537407699</v>
      </c>
    </row>
    <row r="347" spans="1:5" ht="15">
      <c r="A347" s="13">
        <v>52078</v>
      </c>
      <c r="B347" s="4">
        <f>29.3712 * CHOOSE(CONTROL!$C$9, $C$13, 100%, $E$13) + CHOOSE(CONTROL!$C$28, 0.013, 0)</f>
        <v>29.384200000000003</v>
      </c>
      <c r="C347" s="4">
        <f>29.0079 * CHOOSE(CONTROL!$C$9, $C$13, 100%, $E$13) + CHOOSE(CONTROL!$C$28, 0.013, 0)</f>
        <v>29.020900000000001</v>
      </c>
      <c r="D347" s="4">
        <f>39.8657 * CHOOSE(CONTROL!$C$9, $C$13, 100%, $E$13) + CHOOSE(CONTROL!$C$28, 0, 0)</f>
        <v>39.865699999999997</v>
      </c>
      <c r="E347" s="4">
        <f>187.510935515497 * CHOOSE(CONTROL!$C$9, $C$13, 100%, $E$13) + CHOOSE(CONTROL!$C$28, 0, 0)</f>
        <v>187.51093551549701</v>
      </c>
    </row>
    <row r="348" spans="1:5" ht="15">
      <c r="A348" s="13">
        <v>52109</v>
      </c>
      <c r="B348" s="4">
        <f>30.0559 * CHOOSE(CONTROL!$C$9, $C$13, 100%, $E$13) + CHOOSE(CONTROL!$C$28, 0.013, 0)</f>
        <v>30.068900000000003</v>
      </c>
      <c r="C348" s="4">
        <f>29.6926 * CHOOSE(CONTROL!$C$9, $C$13, 100%, $E$13) + CHOOSE(CONTROL!$C$28, 0.013, 0)</f>
        <v>29.7056</v>
      </c>
      <c r="D348" s="4">
        <f>39.4582 * CHOOSE(CONTROL!$C$9, $C$13, 100%, $E$13) + CHOOSE(CONTROL!$C$28, 0, 0)</f>
        <v>39.458199999999998</v>
      </c>
      <c r="E348" s="4">
        <f>192.000339873608 * CHOOSE(CONTROL!$C$9, $C$13, 100%, $E$13) + CHOOSE(CONTROL!$C$28, 0, 0)</f>
        <v>192.000339873608</v>
      </c>
    </row>
    <row r="349" spans="1:5" ht="15">
      <c r="A349" s="13">
        <v>52139</v>
      </c>
      <c r="B349" s="4">
        <f>28.889 * CHOOSE(CONTROL!$C$9, $C$13, 100%, $E$13) + CHOOSE(CONTROL!$C$28, 0.013, 0)</f>
        <v>28.902000000000001</v>
      </c>
      <c r="C349" s="4">
        <f>28.5257 * CHOOSE(CONTROL!$C$9, $C$13, 100%, $E$13) + CHOOSE(CONTROL!$C$28, 0.013, 0)</f>
        <v>28.538700000000002</v>
      </c>
      <c r="D349" s="4">
        <f>39.2656 * CHOOSE(CONTROL!$C$9, $C$13, 100%, $E$13) + CHOOSE(CONTROL!$C$28, 0, 0)</f>
        <v>39.265599999999999</v>
      </c>
      <c r="E349" s="4">
        <f>184.348963010781 * CHOOSE(CONTROL!$C$9, $C$13, 100%, $E$13) + CHOOSE(CONTROL!$C$28, 0, 0)</f>
        <v>184.34896301078101</v>
      </c>
    </row>
    <row r="350" spans="1:5" ht="15">
      <c r="A350" s="13">
        <v>52170</v>
      </c>
      <c r="B350" s="4">
        <f>27.9548 * CHOOSE(CONTROL!$C$9, $C$13, 100%, $E$13) + CHOOSE(CONTROL!$C$28, 0.0003, 0)</f>
        <v>27.955099999999998</v>
      </c>
      <c r="C350" s="4">
        <f>27.5915 * CHOOSE(CONTROL!$C$9, $C$13, 100%, $E$13) + CHOOSE(CONTROL!$C$28, 0.0003, 0)</f>
        <v>27.591799999999999</v>
      </c>
      <c r="D350" s="4">
        <f>38.7501 * CHOOSE(CONTROL!$C$9, $C$13, 100%, $E$13) + CHOOSE(CONTROL!$C$28, 0, 0)</f>
        <v>38.750100000000003</v>
      </c>
      <c r="E350" s="4">
        <f>178.223884196615 * CHOOSE(CONTROL!$C$9, $C$13, 100%, $E$13) + CHOOSE(CONTROL!$C$28, 0, 0)</f>
        <v>178.22388419661499</v>
      </c>
    </row>
    <row r="351" spans="1:5" ht="15">
      <c r="A351" s="13">
        <v>52200</v>
      </c>
      <c r="B351" s="4">
        <f>27.3531 * CHOOSE(CONTROL!$C$9, $C$13, 100%, $E$13) + CHOOSE(CONTROL!$C$28, 0.0003, 0)</f>
        <v>27.353400000000001</v>
      </c>
      <c r="C351" s="4">
        <f>26.9899 * CHOOSE(CONTROL!$C$9, $C$13, 100%, $E$13) + CHOOSE(CONTROL!$C$28, 0.0003, 0)</f>
        <v>26.990199999999998</v>
      </c>
      <c r="D351" s="4">
        <f>38.5729 * CHOOSE(CONTROL!$C$9, $C$13, 100%, $E$13) + CHOOSE(CONTROL!$C$28, 0, 0)</f>
        <v>38.572899999999997</v>
      </c>
      <c r="E351" s="4">
        <f>174.278876048043 * CHOOSE(CONTROL!$C$9, $C$13, 100%, $E$13) + CHOOSE(CONTROL!$C$28, 0, 0)</f>
        <v>174.278876048043</v>
      </c>
    </row>
    <row r="352" spans="1:5" ht="15">
      <c r="A352" s="13">
        <v>52231</v>
      </c>
      <c r="B352" s="4">
        <f>26.9369 * CHOOSE(CONTROL!$C$9, $C$13, 100%, $E$13) + CHOOSE(CONTROL!$C$28, 0.0003, 0)</f>
        <v>26.937200000000001</v>
      </c>
      <c r="C352" s="4">
        <f>26.5736 * CHOOSE(CONTROL!$C$9, $C$13, 100%, $E$13) + CHOOSE(CONTROL!$C$28, 0.0003, 0)</f>
        <v>26.573899999999998</v>
      </c>
      <c r="D352" s="4">
        <f>37.268 * CHOOSE(CONTROL!$C$9, $C$13, 100%, $E$13) + CHOOSE(CONTROL!$C$28, 0, 0)</f>
        <v>37.268000000000001</v>
      </c>
      <c r="E352" s="4">
        <f>171.549437518029 * CHOOSE(CONTROL!$C$9, $C$13, 100%, $E$13) + CHOOSE(CONTROL!$C$28, 0, 0)</f>
        <v>171.54943751802901</v>
      </c>
    </row>
    <row r="353" spans="1:5" ht="15">
      <c r="A353" s="13">
        <v>52262</v>
      </c>
      <c r="B353" s="4">
        <f>25.798 * CHOOSE(CONTROL!$C$9, $C$13, 100%, $E$13) + CHOOSE(CONTROL!$C$28, 0.0003, 0)</f>
        <v>25.798299999999998</v>
      </c>
      <c r="C353" s="4">
        <f>25.4347 * CHOOSE(CONTROL!$C$9, $C$13, 100%, $E$13) + CHOOSE(CONTROL!$C$28, 0.0003, 0)</f>
        <v>25.434999999999999</v>
      </c>
      <c r="D353" s="4">
        <f>35.8307 * CHOOSE(CONTROL!$C$9, $C$13, 100%, $E$13) + CHOOSE(CONTROL!$C$28, 0, 0)</f>
        <v>35.8307</v>
      </c>
      <c r="E353" s="4">
        <f>164.403706369683 * CHOOSE(CONTROL!$C$9, $C$13, 100%, $E$13) + CHOOSE(CONTROL!$C$28, 0, 0)</f>
        <v>164.40370636968299</v>
      </c>
    </row>
    <row r="354" spans="1:5" ht="15">
      <c r="A354" s="13">
        <v>52290</v>
      </c>
      <c r="B354" s="4">
        <f>26.3921 * CHOOSE(CONTROL!$C$9, $C$13, 100%, $E$13) + CHOOSE(CONTROL!$C$28, 0.0003, 0)</f>
        <v>26.392399999999999</v>
      </c>
      <c r="C354" s="4">
        <f>26.0289 * CHOOSE(CONTROL!$C$9, $C$13, 100%, $E$13) + CHOOSE(CONTROL!$C$28, 0.0003, 0)</f>
        <v>26.029199999999999</v>
      </c>
      <c r="D354" s="4">
        <f>37.0299 * CHOOSE(CONTROL!$C$9, $C$13, 100%, $E$13) + CHOOSE(CONTROL!$C$28, 0, 0)</f>
        <v>37.029899999999998</v>
      </c>
      <c r="E354" s="4">
        <f>168.307298259017 * CHOOSE(CONTROL!$C$9, $C$13, 100%, $E$13) + CHOOSE(CONTROL!$C$28, 0, 0)</f>
        <v>168.30729825901699</v>
      </c>
    </row>
    <row r="355" spans="1:5" ht="15">
      <c r="A355" s="13">
        <v>52321</v>
      </c>
      <c r="B355" s="4">
        <f>27.9525 * CHOOSE(CONTROL!$C$9, $C$13, 100%, $E$13) + CHOOSE(CONTROL!$C$28, 0.0003, 0)</f>
        <v>27.9528</v>
      </c>
      <c r="C355" s="4">
        <f>27.5892 * CHOOSE(CONTROL!$C$9, $C$13, 100%, $E$13) + CHOOSE(CONTROL!$C$28, 0.0003, 0)</f>
        <v>27.589500000000001</v>
      </c>
      <c r="D355" s="4">
        <f>38.9073 * CHOOSE(CONTROL!$C$9, $C$13, 100%, $E$13) + CHOOSE(CONTROL!$C$28, 0, 0)</f>
        <v>38.907299999999999</v>
      </c>
      <c r="E355" s="4">
        <f>178.558338009882 * CHOOSE(CONTROL!$C$9, $C$13, 100%, $E$13) + CHOOSE(CONTROL!$C$28, 0, 0)</f>
        <v>178.55833800988199</v>
      </c>
    </row>
    <row r="356" spans="1:5" ht="15">
      <c r="A356" s="13">
        <v>52351</v>
      </c>
      <c r="B356" s="4">
        <f>29.0611 * CHOOSE(CONTROL!$C$9, $C$13, 100%, $E$13) + CHOOSE(CONTROL!$C$28, 0.0003, 0)</f>
        <v>29.061399999999999</v>
      </c>
      <c r="C356" s="4">
        <f>28.6978 * CHOOSE(CONTROL!$C$9, $C$13, 100%, $E$13) + CHOOSE(CONTROL!$C$28, 0.0003, 0)</f>
        <v>28.6981</v>
      </c>
      <c r="D356" s="4">
        <f>39.9887 * CHOOSE(CONTROL!$C$9, $C$13, 100%, $E$13) + CHOOSE(CONTROL!$C$28, 0, 0)</f>
        <v>39.988700000000001</v>
      </c>
      <c r="E356" s="4">
        <f>185.841838365939 * CHOOSE(CONTROL!$C$9, $C$13, 100%, $E$13) + CHOOSE(CONTROL!$C$28, 0, 0)</f>
        <v>185.841838365939</v>
      </c>
    </row>
    <row r="357" spans="1:5" ht="15">
      <c r="A357" s="13">
        <v>52382</v>
      </c>
      <c r="B357" s="4">
        <f>29.7385 * CHOOSE(CONTROL!$C$9, $C$13, 100%, $E$13) + CHOOSE(CONTROL!$C$28, 0.013, 0)</f>
        <v>29.7515</v>
      </c>
      <c r="C357" s="4">
        <f>29.3752 * CHOOSE(CONTROL!$C$9, $C$13, 100%, $E$13) + CHOOSE(CONTROL!$C$28, 0.013, 0)</f>
        <v>29.388200000000001</v>
      </c>
      <c r="D357" s="4">
        <f>39.5613 * CHOOSE(CONTROL!$C$9, $C$13, 100%, $E$13) + CHOOSE(CONTROL!$C$28, 0, 0)</f>
        <v>39.561300000000003</v>
      </c>
      <c r="E357" s="4">
        <f>190.291882522348 * CHOOSE(CONTROL!$C$9, $C$13, 100%, $E$13) + CHOOSE(CONTROL!$C$28, 0, 0)</f>
        <v>190.291882522348</v>
      </c>
    </row>
    <row r="358" spans="1:5" ht="15">
      <c r="A358" s="13">
        <v>52412</v>
      </c>
      <c r="B358" s="4">
        <f>29.8301 * CHOOSE(CONTROL!$C$9, $C$13, 100%, $E$13) + CHOOSE(CONTROL!$C$28, 0.013, 0)</f>
        <v>29.843100000000003</v>
      </c>
      <c r="C358" s="4">
        <f>29.4669 * CHOOSE(CONTROL!$C$9, $C$13, 100%, $E$13) + CHOOSE(CONTROL!$C$28, 0.013, 0)</f>
        <v>29.479900000000001</v>
      </c>
      <c r="D358" s="4">
        <f>39.9094 * CHOOSE(CONTROL!$C$9, $C$13, 100%, $E$13) + CHOOSE(CONTROL!$C$28, 0, 0)</f>
        <v>39.909399999999998</v>
      </c>
      <c r="E358" s="4">
        <f>190.893991964773 * CHOOSE(CONTROL!$C$9, $C$13, 100%, $E$13) + CHOOSE(CONTROL!$C$28, 0, 0)</f>
        <v>190.89399196477299</v>
      </c>
    </row>
    <row r="359" spans="1:5" ht="15">
      <c r="A359" s="13">
        <v>52443</v>
      </c>
      <c r="B359" s="4">
        <f>29.8209 * CHOOSE(CONTROL!$C$9, $C$13, 100%, $E$13) + CHOOSE(CONTROL!$C$28, 0.013, 0)</f>
        <v>29.833900000000003</v>
      </c>
      <c r="C359" s="4">
        <f>29.4576 * CHOOSE(CONTROL!$C$9, $C$13, 100%, $E$13) + CHOOSE(CONTROL!$C$28, 0.013, 0)</f>
        <v>29.470600000000001</v>
      </c>
      <c r="D359" s="4">
        <f>40.5373 * CHOOSE(CONTROL!$C$9, $C$13, 100%, $E$13) + CHOOSE(CONTROL!$C$28, 0, 0)</f>
        <v>40.537300000000002</v>
      </c>
      <c r="E359" s="4">
        <f>190.833275046209 * CHOOSE(CONTROL!$C$9, $C$13, 100%, $E$13) + CHOOSE(CONTROL!$C$28, 0, 0)</f>
        <v>190.833275046209</v>
      </c>
    </row>
    <row r="360" spans="1:5" ht="15">
      <c r="A360" s="13">
        <v>52474</v>
      </c>
      <c r="B360" s="4">
        <f>30.5164 * CHOOSE(CONTROL!$C$9, $C$13, 100%, $E$13) + CHOOSE(CONTROL!$C$28, 0.013, 0)</f>
        <v>30.529400000000003</v>
      </c>
      <c r="C360" s="4">
        <f>30.1531 * CHOOSE(CONTROL!$C$9, $C$13, 100%, $E$13) + CHOOSE(CONTROL!$C$28, 0.013, 0)</f>
        <v>30.1661</v>
      </c>
      <c r="D360" s="4">
        <f>40.1226 * CHOOSE(CONTROL!$C$9, $C$13, 100%, $E$13) + CHOOSE(CONTROL!$C$28, 0, 0)</f>
        <v>40.122599999999998</v>
      </c>
      <c r="E360" s="4">
        <f>195.402223168139 * CHOOSE(CONTROL!$C$9, $C$13, 100%, $E$13) + CHOOSE(CONTROL!$C$28, 0, 0)</f>
        <v>195.40222316813899</v>
      </c>
    </row>
    <row r="361" spans="1:5" ht="15">
      <c r="A361" s="13">
        <v>52504</v>
      </c>
      <c r="B361" s="4">
        <f>29.3311 * CHOOSE(CONTROL!$C$9, $C$13, 100%, $E$13) + CHOOSE(CONTROL!$C$28, 0.013, 0)</f>
        <v>29.344100000000001</v>
      </c>
      <c r="C361" s="4">
        <f>28.9678 * CHOOSE(CONTROL!$C$9, $C$13, 100%, $E$13) + CHOOSE(CONTROL!$C$28, 0.013, 0)</f>
        <v>28.980800000000002</v>
      </c>
      <c r="D361" s="4">
        <f>39.9267 * CHOOSE(CONTROL!$C$9, $C$13, 100%, $E$13) + CHOOSE(CONTROL!$C$28, 0, 0)</f>
        <v>39.926699999999997</v>
      </c>
      <c r="E361" s="4">
        <f>187.615278362325 * CHOOSE(CONTROL!$C$9, $C$13, 100%, $E$13) + CHOOSE(CONTROL!$C$28, 0, 0)</f>
        <v>187.615278362325</v>
      </c>
    </row>
    <row r="362" spans="1:5" ht="15">
      <c r="A362" s="13">
        <v>52535</v>
      </c>
      <c r="B362" s="4">
        <f>28.3822 * CHOOSE(CONTROL!$C$9, $C$13, 100%, $E$13) + CHOOSE(CONTROL!$C$28, 0.0003, 0)</f>
        <v>28.3825</v>
      </c>
      <c r="C362" s="4">
        <f>28.019 * CHOOSE(CONTROL!$C$9, $C$13, 100%, $E$13) + CHOOSE(CONTROL!$C$28, 0.0003, 0)</f>
        <v>28.019299999999998</v>
      </c>
      <c r="D362" s="4">
        <f>39.402 * CHOOSE(CONTROL!$C$9, $C$13, 100%, $E$13) + CHOOSE(CONTROL!$C$28, 0, 0)</f>
        <v>39.402000000000001</v>
      </c>
      <c r="E362" s="4">
        <f>181.381674723102 * CHOOSE(CONTROL!$C$9, $C$13, 100%, $E$13) + CHOOSE(CONTROL!$C$28, 0, 0)</f>
        <v>181.38167472310201</v>
      </c>
    </row>
    <row r="363" spans="1:5" ht="15">
      <c r="A363" s="13">
        <v>52565</v>
      </c>
      <c r="B363" s="4">
        <f>27.7711 * CHOOSE(CONTROL!$C$9, $C$13, 100%, $E$13) + CHOOSE(CONTROL!$C$28, 0.0003, 0)</f>
        <v>27.7714</v>
      </c>
      <c r="C363" s="4">
        <f>27.4078 * CHOOSE(CONTROL!$C$9, $C$13, 100%, $E$13) + CHOOSE(CONTROL!$C$28, 0.0003, 0)</f>
        <v>27.408100000000001</v>
      </c>
      <c r="D363" s="4">
        <f>39.2217 * CHOOSE(CONTROL!$C$9, $C$13, 100%, $E$13) + CHOOSE(CONTROL!$C$28, 0, 0)</f>
        <v>39.221699999999998</v>
      </c>
      <c r="E363" s="4">
        <f>177.366768483066 * CHOOSE(CONTROL!$C$9, $C$13, 100%, $E$13) + CHOOSE(CONTROL!$C$28, 0, 0)</f>
        <v>177.36676848306601</v>
      </c>
    </row>
    <row r="364" spans="1:5" ht="15">
      <c r="A364" s="13">
        <v>52596</v>
      </c>
      <c r="B364" s="4">
        <f>27.3483 * CHOOSE(CONTROL!$C$9, $C$13, 100%, $E$13) + CHOOSE(CONTROL!$C$28, 0.0003, 0)</f>
        <v>27.348599999999998</v>
      </c>
      <c r="C364" s="4">
        <f>26.985 * CHOOSE(CONTROL!$C$9, $C$13, 100%, $E$13) + CHOOSE(CONTROL!$C$28, 0.0003, 0)</f>
        <v>26.985299999999999</v>
      </c>
      <c r="D364" s="4">
        <f>37.8938 * CHOOSE(CONTROL!$C$9, $C$13, 100%, $E$13) + CHOOSE(CONTROL!$C$28, 0, 0)</f>
        <v>37.893799999999999</v>
      </c>
      <c r="E364" s="4">
        <f>174.58896945877 * CHOOSE(CONTROL!$C$9, $C$13, 100%, $E$13) + CHOOSE(CONTROL!$C$28, 0, 0)</f>
        <v>174.58896945877001</v>
      </c>
    </row>
    <row r="365" spans="1:5" ht="15">
      <c r="A365" s="13">
        <v>52627</v>
      </c>
      <c r="B365" s="4">
        <f>26.1915 * CHOOSE(CONTROL!$C$9, $C$13, 100%, $E$13) + CHOOSE(CONTROL!$C$28, 0.0003, 0)</f>
        <v>26.191800000000001</v>
      </c>
      <c r="C365" s="4">
        <f>25.8282 * CHOOSE(CONTROL!$C$9, $C$13, 100%, $E$13) + CHOOSE(CONTROL!$C$28, 0.0003, 0)</f>
        <v>25.828499999999998</v>
      </c>
      <c r="D365" s="4">
        <f>36.431 * CHOOSE(CONTROL!$C$9, $C$13, 100%, $E$13) + CHOOSE(CONTROL!$C$28, 0, 0)</f>
        <v>36.430999999999997</v>
      </c>
      <c r="E365" s="4">
        <f>167.316629454227 * CHOOSE(CONTROL!$C$9, $C$13, 100%, $E$13) + CHOOSE(CONTROL!$C$28, 0, 0)</f>
        <v>167.31662945422701</v>
      </c>
    </row>
    <row r="366" spans="1:5" ht="15">
      <c r="A366" s="13">
        <v>52655</v>
      </c>
      <c r="B366" s="4">
        <f>26.795 * CHOOSE(CONTROL!$C$9, $C$13, 100%, $E$13) + CHOOSE(CONTROL!$C$28, 0.0003, 0)</f>
        <v>26.795300000000001</v>
      </c>
      <c r="C366" s="4">
        <f>26.4317 * CHOOSE(CONTROL!$C$9, $C$13, 100%, $E$13) + CHOOSE(CONTROL!$C$28, 0.0003, 0)</f>
        <v>26.431999999999999</v>
      </c>
      <c r="D366" s="4">
        <f>37.6515 * CHOOSE(CONTROL!$C$9, $C$13, 100%, $E$13) + CHOOSE(CONTROL!$C$28, 0, 0)</f>
        <v>37.651499999999999</v>
      </c>
      <c r="E366" s="4">
        <f>171.289385617155 * CHOOSE(CONTROL!$C$9, $C$13, 100%, $E$13) + CHOOSE(CONTROL!$C$28, 0, 0)</f>
        <v>171.28938561715501</v>
      </c>
    </row>
    <row r="367" spans="1:5" ht="15">
      <c r="A367" s="13">
        <v>52687</v>
      </c>
      <c r="B367" s="4">
        <f>28.3799 * CHOOSE(CONTROL!$C$9, $C$13, 100%, $E$13) + CHOOSE(CONTROL!$C$28, 0.0003, 0)</f>
        <v>28.380199999999999</v>
      </c>
      <c r="C367" s="4">
        <f>28.0166 * CHOOSE(CONTROL!$C$9, $C$13, 100%, $E$13) + CHOOSE(CONTROL!$C$28, 0.0003, 0)</f>
        <v>28.0169</v>
      </c>
      <c r="D367" s="4">
        <f>39.562 * CHOOSE(CONTROL!$C$9, $C$13, 100%, $E$13) + CHOOSE(CONTROL!$C$28, 0, 0)</f>
        <v>39.561999999999998</v>
      </c>
      <c r="E367" s="4">
        <f>181.722054426088 * CHOOSE(CONTROL!$C$9, $C$13, 100%, $E$13) + CHOOSE(CONTROL!$C$28, 0, 0)</f>
        <v>181.72205442608799</v>
      </c>
    </row>
    <row r="368" spans="1:5" ht="15">
      <c r="A368" s="13">
        <v>52717</v>
      </c>
      <c r="B368" s="4">
        <f>29.506 * CHOOSE(CONTROL!$C$9, $C$13, 100%, $E$13) + CHOOSE(CONTROL!$C$28, 0.0003, 0)</f>
        <v>29.5063</v>
      </c>
      <c r="C368" s="4">
        <f>29.1427 * CHOOSE(CONTROL!$C$9, $C$13, 100%, $E$13) + CHOOSE(CONTROL!$C$28, 0.0003, 0)</f>
        <v>29.143000000000001</v>
      </c>
      <c r="D368" s="4">
        <f>40.6625 * CHOOSE(CONTROL!$C$9, $C$13, 100%, $E$13) + CHOOSE(CONTROL!$C$28, 0, 0)</f>
        <v>40.662500000000001</v>
      </c>
      <c r="E368" s="4">
        <f>189.134604648427 * CHOOSE(CONTROL!$C$9, $C$13, 100%, $E$13) + CHOOSE(CONTROL!$C$28, 0, 0)</f>
        <v>189.134604648427</v>
      </c>
    </row>
    <row r="369" spans="1:5" ht="15">
      <c r="A369" s="13">
        <v>52748</v>
      </c>
      <c r="B369" s="4">
        <f>30.194 * CHOOSE(CONTROL!$C$9, $C$13, 100%, $E$13) + CHOOSE(CONTROL!$C$28, 0.013, 0)</f>
        <v>30.207000000000001</v>
      </c>
      <c r="C369" s="4">
        <f>29.8307 * CHOOSE(CONTROL!$C$9, $C$13, 100%, $E$13) + CHOOSE(CONTROL!$C$28, 0.013, 0)</f>
        <v>29.843700000000002</v>
      </c>
      <c r="D369" s="4">
        <f>40.2276 * CHOOSE(CONTROL!$C$9, $C$13, 100%, $E$13) + CHOOSE(CONTROL!$C$28, 0, 0)</f>
        <v>40.227600000000002</v>
      </c>
      <c r="E369" s="4">
        <f>193.663495180242 * CHOOSE(CONTROL!$C$9, $C$13, 100%, $E$13) + CHOOSE(CONTROL!$C$28, 0, 0)</f>
        <v>193.66349518024199</v>
      </c>
    </row>
    <row r="370" spans="1:5" ht="15">
      <c r="A370" s="13">
        <v>52778</v>
      </c>
      <c r="B370" s="4">
        <f>30.2871 * CHOOSE(CONTROL!$C$9, $C$13, 100%, $E$13) + CHOOSE(CONTROL!$C$28, 0.013, 0)</f>
        <v>30.3001</v>
      </c>
      <c r="C370" s="4">
        <f>29.9238 * CHOOSE(CONTROL!$C$9, $C$13, 100%, $E$13) + CHOOSE(CONTROL!$C$28, 0.013, 0)</f>
        <v>29.936800000000002</v>
      </c>
      <c r="D370" s="4">
        <f>40.5818 * CHOOSE(CONTROL!$C$9, $C$13, 100%, $E$13) + CHOOSE(CONTROL!$C$28, 0, 0)</f>
        <v>40.581800000000001</v>
      </c>
      <c r="E370" s="4">
        <f>194.276272864478 * CHOOSE(CONTROL!$C$9, $C$13, 100%, $E$13) + CHOOSE(CONTROL!$C$28, 0, 0)</f>
        <v>194.27627286447799</v>
      </c>
    </row>
    <row r="371" spans="1:5" ht="15">
      <c r="A371" s="13">
        <v>52809</v>
      </c>
      <c r="B371" s="4">
        <f>30.2777 * CHOOSE(CONTROL!$C$9, $C$13, 100%, $E$13) + CHOOSE(CONTROL!$C$28, 0.013, 0)</f>
        <v>30.290700000000001</v>
      </c>
      <c r="C371" s="4">
        <f>29.9144 * CHOOSE(CONTROL!$C$9, $C$13, 100%, $E$13) + CHOOSE(CONTROL!$C$28, 0.013, 0)</f>
        <v>29.927400000000002</v>
      </c>
      <c r="D371" s="4">
        <f>41.2208 * CHOOSE(CONTROL!$C$9, $C$13, 100%, $E$13) + CHOOSE(CONTROL!$C$28, 0, 0)</f>
        <v>41.220799999999997</v>
      </c>
      <c r="E371" s="4">
        <f>194.214480156824 * CHOOSE(CONTROL!$C$9, $C$13, 100%, $E$13) + CHOOSE(CONTROL!$C$28, 0, 0)</f>
        <v>194.21448015682401</v>
      </c>
    </row>
    <row r="372" spans="1:5" ht="15">
      <c r="A372" s="13">
        <v>52840</v>
      </c>
      <c r="B372" s="4">
        <f>30.9841 * CHOOSE(CONTROL!$C$9, $C$13, 100%, $E$13) + CHOOSE(CONTROL!$C$28, 0.013, 0)</f>
        <v>30.997100000000003</v>
      </c>
      <c r="C372" s="4">
        <f>30.6208 * CHOOSE(CONTROL!$C$9, $C$13, 100%, $E$13) + CHOOSE(CONTROL!$C$28, 0.013, 0)</f>
        <v>30.633800000000001</v>
      </c>
      <c r="D372" s="4">
        <f>40.7988 * CHOOSE(CONTROL!$C$9, $C$13, 100%, $E$13) + CHOOSE(CONTROL!$C$28, 0, 0)</f>
        <v>40.7988</v>
      </c>
      <c r="E372" s="4">
        <f>198.864381407795 * CHOOSE(CONTROL!$C$9, $C$13, 100%, $E$13) + CHOOSE(CONTROL!$C$28, 0, 0)</f>
        <v>198.86438140779501</v>
      </c>
    </row>
    <row r="373" spans="1:5" ht="15">
      <c r="A373" s="13">
        <v>52870</v>
      </c>
      <c r="B373" s="4">
        <f>29.7801 * CHOOSE(CONTROL!$C$9, $C$13, 100%, $E$13) + CHOOSE(CONTROL!$C$28, 0.013, 0)</f>
        <v>29.793100000000003</v>
      </c>
      <c r="C373" s="4">
        <f>29.4169 * CHOOSE(CONTROL!$C$9, $C$13, 100%, $E$13) + CHOOSE(CONTROL!$C$28, 0.013, 0)</f>
        <v>29.4299</v>
      </c>
      <c r="D373" s="4">
        <f>40.5994 * CHOOSE(CONTROL!$C$9, $C$13, 100%, $E$13) + CHOOSE(CONTROL!$C$28, 0, 0)</f>
        <v>40.599400000000003</v>
      </c>
      <c r="E373" s="4">
        <f>190.939466651157 * CHOOSE(CONTROL!$C$9, $C$13, 100%, $E$13) + CHOOSE(CONTROL!$C$28, 0, 0)</f>
        <v>190.93946665115701</v>
      </c>
    </row>
    <row r="374" spans="1:5" ht="15">
      <c r="A374" s="13">
        <v>52901</v>
      </c>
      <c r="B374" s="4">
        <f>28.8164 * CHOOSE(CONTROL!$C$9, $C$13, 100%, $E$13) + CHOOSE(CONTROL!$C$28, 0.0003, 0)</f>
        <v>28.816700000000001</v>
      </c>
      <c r="C374" s="4">
        <f>28.4531 * CHOOSE(CONTROL!$C$9, $C$13, 100%, $E$13) + CHOOSE(CONTROL!$C$28, 0.0003, 0)</f>
        <v>28.453399999999998</v>
      </c>
      <c r="D374" s="4">
        <f>40.0655 * CHOOSE(CONTROL!$C$9, $C$13, 100%, $E$13) + CHOOSE(CONTROL!$C$28, 0, 0)</f>
        <v>40.0655</v>
      </c>
      <c r="E374" s="4">
        <f>184.595415332003 * CHOOSE(CONTROL!$C$9, $C$13, 100%, $E$13) + CHOOSE(CONTROL!$C$28, 0, 0)</f>
        <v>184.595415332003</v>
      </c>
    </row>
    <row r="375" spans="1:5" ht="15">
      <c r="A375" s="13">
        <v>52931</v>
      </c>
      <c r="B375" s="4">
        <f>28.1956 * CHOOSE(CONTROL!$C$9, $C$13, 100%, $E$13) + CHOOSE(CONTROL!$C$28, 0.0003, 0)</f>
        <v>28.195899999999998</v>
      </c>
      <c r="C375" s="4">
        <f>27.8324 * CHOOSE(CONTROL!$C$9, $C$13, 100%, $E$13) + CHOOSE(CONTROL!$C$28, 0.0003, 0)</f>
        <v>27.832699999999999</v>
      </c>
      <c r="D375" s="4">
        <f>39.8819 * CHOOSE(CONTROL!$C$9, $C$13, 100%, $E$13) + CHOOSE(CONTROL!$C$28, 0, 0)</f>
        <v>39.881900000000002</v>
      </c>
      <c r="E375" s="4">
        <f>180.509372538376 * CHOOSE(CONTROL!$C$9, $C$13, 100%, $E$13) + CHOOSE(CONTROL!$C$28, 0, 0)</f>
        <v>180.509372538376</v>
      </c>
    </row>
    <row r="376" spans="1:5" ht="15">
      <c r="A376" s="13">
        <v>52962</v>
      </c>
      <c r="B376" s="4">
        <f>27.7662 * CHOOSE(CONTROL!$C$9, $C$13, 100%, $E$13) + CHOOSE(CONTROL!$C$28, 0.0003, 0)</f>
        <v>27.766500000000001</v>
      </c>
      <c r="C376" s="4">
        <f>27.4029 * CHOOSE(CONTROL!$C$9, $C$13, 100%, $E$13) + CHOOSE(CONTROL!$C$28, 0.0003, 0)</f>
        <v>27.403199999999998</v>
      </c>
      <c r="D376" s="4">
        <f>38.5306 * CHOOSE(CONTROL!$C$9, $C$13, 100%, $E$13) + CHOOSE(CONTROL!$C$28, 0, 0)</f>
        <v>38.5306</v>
      </c>
      <c r="E376" s="4">
        <f>177.682356163201 * CHOOSE(CONTROL!$C$9, $C$13, 100%, $E$13) + CHOOSE(CONTROL!$C$28, 0, 0)</f>
        <v>177.68235616320101</v>
      </c>
    </row>
    <row r="377" spans="1:5" ht="15">
      <c r="A377" s="13">
        <v>52993</v>
      </c>
      <c r="B377" s="4">
        <f>26.5912 * CHOOSE(CONTROL!$C$9, $C$13, 100%, $E$13) + CHOOSE(CONTROL!$C$28, 0.0003, 0)</f>
        <v>26.5915</v>
      </c>
      <c r="C377" s="4">
        <f>26.2279 * CHOOSE(CONTROL!$C$9, $C$13, 100%, $E$13) + CHOOSE(CONTROL!$C$28, 0.0003, 0)</f>
        <v>26.228200000000001</v>
      </c>
      <c r="D377" s="4">
        <f>37.042 * CHOOSE(CONTROL!$C$9, $C$13, 100%, $E$13) + CHOOSE(CONTROL!$C$28, 0, 0)</f>
        <v>37.042000000000002</v>
      </c>
      <c r="E377" s="4">
        <f>170.28116403272 * CHOOSE(CONTROL!$C$9, $C$13, 100%, $E$13) + CHOOSE(CONTROL!$C$28, 0, 0)</f>
        <v>170.28116403272</v>
      </c>
    </row>
    <row r="378" spans="1:5" ht="15">
      <c r="A378" s="13">
        <v>53021</v>
      </c>
      <c r="B378" s="4">
        <f>27.2042 * CHOOSE(CONTROL!$C$9, $C$13, 100%, $E$13) + CHOOSE(CONTROL!$C$28, 0.0003, 0)</f>
        <v>27.204499999999999</v>
      </c>
      <c r="C378" s="4">
        <f>26.8409 * CHOOSE(CONTROL!$C$9, $C$13, 100%, $E$13) + CHOOSE(CONTROL!$C$28, 0.0003, 0)</f>
        <v>26.841200000000001</v>
      </c>
      <c r="D378" s="4">
        <f>38.284 * CHOOSE(CONTROL!$C$9, $C$13, 100%, $E$13) + CHOOSE(CONTROL!$C$28, 0, 0)</f>
        <v>38.283999999999999</v>
      </c>
      <c r="E378" s="4">
        <f>174.324309929503 * CHOOSE(CONTROL!$C$9, $C$13, 100%, $E$13) + CHOOSE(CONTROL!$C$28, 0, 0)</f>
        <v>174.32430992950299</v>
      </c>
    </row>
    <row r="379" spans="1:5" ht="15">
      <c r="A379" s="13">
        <v>53052</v>
      </c>
      <c r="B379" s="4">
        <f>28.814 * CHOOSE(CONTROL!$C$9, $C$13, 100%, $E$13) + CHOOSE(CONTROL!$C$28, 0.0003, 0)</f>
        <v>28.814299999999999</v>
      </c>
      <c r="C379" s="4">
        <f>28.4507 * CHOOSE(CONTROL!$C$9, $C$13, 100%, $E$13) + CHOOSE(CONTROL!$C$28, 0.0003, 0)</f>
        <v>28.451000000000001</v>
      </c>
      <c r="D379" s="4">
        <f>40.2282 * CHOOSE(CONTROL!$C$9, $C$13, 100%, $E$13) + CHOOSE(CONTROL!$C$28, 0, 0)</f>
        <v>40.228200000000001</v>
      </c>
      <c r="E379" s="4">
        <f>184.941825920279 * CHOOSE(CONTROL!$C$9, $C$13, 100%, $E$13) + CHOOSE(CONTROL!$C$28, 0, 0)</f>
        <v>184.941825920279</v>
      </c>
    </row>
    <row r="380" spans="1:5" ht="15">
      <c r="A380" s="13">
        <v>53082</v>
      </c>
      <c r="B380" s="4">
        <f>29.9578 * CHOOSE(CONTROL!$C$9, $C$13, 100%, $E$13) + CHOOSE(CONTROL!$C$28, 0.0003, 0)</f>
        <v>29.958099999999998</v>
      </c>
      <c r="C380" s="4">
        <f>29.5945 * CHOOSE(CONTROL!$C$9, $C$13, 100%, $E$13) + CHOOSE(CONTROL!$C$28, 0.0003, 0)</f>
        <v>29.594799999999999</v>
      </c>
      <c r="D380" s="4">
        <f>41.3482 * CHOOSE(CONTROL!$C$9, $C$13, 100%, $E$13) + CHOOSE(CONTROL!$C$28, 0, 0)</f>
        <v>41.348199999999999</v>
      </c>
      <c r="E380" s="4">
        <f>192.485712528731 * CHOOSE(CONTROL!$C$9, $C$13, 100%, $E$13) + CHOOSE(CONTROL!$C$28, 0, 0)</f>
        <v>192.485712528731</v>
      </c>
    </row>
    <row r="381" spans="1:5" ht="15">
      <c r="A381" s="13">
        <v>53113</v>
      </c>
      <c r="B381" s="4">
        <f>30.6566 * CHOOSE(CONTROL!$C$9, $C$13, 100%, $E$13) + CHOOSE(CONTROL!$C$28, 0.013, 0)</f>
        <v>30.669600000000003</v>
      </c>
      <c r="C381" s="4">
        <f>30.2933 * CHOOSE(CONTROL!$C$9, $C$13, 100%, $E$13) + CHOOSE(CONTROL!$C$28, 0.013, 0)</f>
        <v>30.3063</v>
      </c>
      <c r="D381" s="4">
        <f>40.9056 * CHOOSE(CONTROL!$C$9, $C$13, 100%, $E$13) + CHOOSE(CONTROL!$C$28, 0, 0)</f>
        <v>40.9056</v>
      </c>
      <c r="E381" s="4">
        <f>197.094846444766 * CHOOSE(CONTROL!$C$9, $C$13, 100%, $E$13) + CHOOSE(CONTROL!$C$28, 0, 0)</f>
        <v>197.09484644476601</v>
      </c>
    </row>
    <row r="382" spans="1:5" ht="15">
      <c r="A382" s="13">
        <v>53143</v>
      </c>
      <c r="B382" s="4">
        <f>30.7512 * CHOOSE(CONTROL!$C$9, $C$13, 100%, $E$13) + CHOOSE(CONTROL!$C$28, 0.013, 0)</f>
        <v>30.764200000000002</v>
      </c>
      <c r="C382" s="4">
        <f>30.3879 * CHOOSE(CONTROL!$C$9, $C$13, 100%, $E$13) + CHOOSE(CONTROL!$C$28, 0.013, 0)</f>
        <v>30.4009</v>
      </c>
      <c r="D382" s="4">
        <f>41.2661 * CHOOSE(CONTROL!$C$9, $C$13, 100%, $E$13) + CHOOSE(CONTROL!$C$28, 0, 0)</f>
        <v>41.266100000000002</v>
      </c>
      <c r="E382" s="4">
        <f>197.718481391904 * CHOOSE(CONTROL!$C$9, $C$13, 100%, $E$13) + CHOOSE(CONTROL!$C$28, 0, 0)</f>
        <v>197.71848139190399</v>
      </c>
    </row>
    <row r="383" spans="1:5" ht="15">
      <c r="A383" s="13">
        <v>53174</v>
      </c>
      <c r="B383" s="4">
        <f>30.7416 * CHOOSE(CONTROL!$C$9, $C$13, 100%, $E$13) + CHOOSE(CONTROL!$C$28, 0.013, 0)</f>
        <v>30.7546</v>
      </c>
      <c r="C383" s="4">
        <f>30.3783 * CHOOSE(CONTROL!$C$9, $C$13, 100%, $E$13) + CHOOSE(CONTROL!$C$28, 0.013, 0)</f>
        <v>30.391300000000001</v>
      </c>
      <c r="D383" s="4">
        <f>41.9164 * CHOOSE(CONTROL!$C$9, $C$13, 100%, $E$13) + CHOOSE(CONTROL!$C$28, 0, 0)</f>
        <v>41.916400000000003</v>
      </c>
      <c r="E383" s="4">
        <f>197.65559383421 * CHOOSE(CONTROL!$C$9, $C$13, 100%, $E$13) + CHOOSE(CONTROL!$C$28, 0, 0)</f>
        <v>197.65559383421001</v>
      </c>
    </row>
    <row r="384" spans="1:5" ht="15">
      <c r="A384" s="13">
        <v>53205</v>
      </c>
      <c r="B384" s="4">
        <f>31.4591 * CHOOSE(CONTROL!$C$9, $C$13, 100%, $E$13) + CHOOSE(CONTROL!$C$28, 0.013, 0)</f>
        <v>31.472100000000001</v>
      </c>
      <c r="C384" s="4">
        <f>31.0958 * CHOOSE(CONTROL!$C$9, $C$13, 100%, $E$13) + CHOOSE(CONTROL!$C$28, 0.013, 0)</f>
        <v>31.108800000000002</v>
      </c>
      <c r="D384" s="4">
        <f>41.4869 * CHOOSE(CONTROL!$C$9, $C$13, 100%, $E$13) + CHOOSE(CONTROL!$C$28, 0, 0)</f>
        <v>41.486899999999999</v>
      </c>
      <c r="E384" s="4">
        <f>202.38788255073 * CHOOSE(CONTROL!$C$9, $C$13, 100%, $E$13) + CHOOSE(CONTROL!$C$28, 0, 0)</f>
        <v>202.38788255073001</v>
      </c>
    </row>
    <row r="385" spans="1:5" ht="15">
      <c r="A385" s="13">
        <v>53235</v>
      </c>
      <c r="B385" s="4">
        <f>30.2363 * CHOOSE(CONTROL!$C$9, $C$13, 100%, $E$13) + CHOOSE(CONTROL!$C$28, 0.013, 0)</f>
        <v>30.249300000000002</v>
      </c>
      <c r="C385" s="4">
        <f>29.873 * CHOOSE(CONTROL!$C$9, $C$13, 100%, $E$13) + CHOOSE(CONTROL!$C$28, 0.013, 0)</f>
        <v>29.886000000000003</v>
      </c>
      <c r="D385" s="4">
        <f>41.284 * CHOOSE(CONTROL!$C$9, $C$13, 100%, $E$13) + CHOOSE(CONTROL!$C$28, 0, 0)</f>
        <v>41.283999999999999</v>
      </c>
      <c r="E385" s="4">
        <f>194.322553276395 * CHOOSE(CONTROL!$C$9, $C$13, 100%, $E$13) + CHOOSE(CONTROL!$C$28, 0, 0)</f>
        <v>194.32255327639501</v>
      </c>
    </row>
    <row r="386" spans="1:5" ht="15">
      <c r="A386" s="13">
        <v>53266</v>
      </c>
      <c r="B386" s="4">
        <f>29.2574 * CHOOSE(CONTROL!$C$9, $C$13, 100%, $E$13) + CHOOSE(CONTROL!$C$28, 0.0003, 0)</f>
        <v>29.2577</v>
      </c>
      <c r="C386" s="4">
        <f>28.8941 * CHOOSE(CONTROL!$C$9, $C$13, 100%, $E$13) + CHOOSE(CONTROL!$C$28, 0.0003, 0)</f>
        <v>28.894400000000001</v>
      </c>
      <c r="D386" s="4">
        <f>40.7407 * CHOOSE(CONTROL!$C$9, $C$13, 100%, $E$13) + CHOOSE(CONTROL!$C$28, 0, 0)</f>
        <v>40.740699999999997</v>
      </c>
      <c r="E386" s="4">
        <f>187.86609735308 * CHOOSE(CONTROL!$C$9, $C$13, 100%, $E$13) + CHOOSE(CONTROL!$C$28, 0, 0)</f>
        <v>187.86609735307999</v>
      </c>
    </row>
    <row r="387" spans="1:5" ht="15">
      <c r="A387" s="13">
        <v>53296</v>
      </c>
      <c r="B387" s="4">
        <f>28.6269 * CHOOSE(CONTROL!$C$9, $C$13, 100%, $E$13) + CHOOSE(CONTROL!$C$28, 0.0003, 0)</f>
        <v>28.627199999999998</v>
      </c>
      <c r="C387" s="4">
        <f>28.2636 * CHOOSE(CONTROL!$C$9, $C$13, 100%, $E$13) + CHOOSE(CONTROL!$C$28, 0.0003, 0)</f>
        <v>28.2639</v>
      </c>
      <c r="D387" s="4">
        <f>40.5539 * CHOOSE(CONTROL!$C$9, $C$13, 100%, $E$13) + CHOOSE(CONTROL!$C$28, 0, 0)</f>
        <v>40.553899999999999</v>
      </c>
      <c r="E387" s="4">
        <f>183.707657600522 * CHOOSE(CONTROL!$C$9, $C$13, 100%, $E$13) + CHOOSE(CONTROL!$C$28, 0, 0)</f>
        <v>183.707657600522</v>
      </c>
    </row>
    <row r="388" spans="1:5" ht="15">
      <c r="A388" s="13">
        <v>53327</v>
      </c>
      <c r="B388" s="4">
        <f>28.1906 * CHOOSE(CONTROL!$C$9, $C$13, 100%, $E$13) + CHOOSE(CONTROL!$C$28, 0.0003, 0)</f>
        <v>28.190899999999999</v>
      </c>
      <c r="C388" s="4">
        <f>27.8274 * CHOOSE(CONTROL!$C$9, $C$13, 100%, $E$13) + CHOOSE(CONTROL!$C$28, 0.0003, 0)</f>
        <v>27.8277</v>
      </c>
      <c r="D388" s="4">
        <f>39.1786 * CHOOSE(CONTROL!$C$9, $C$13, 100%, $E$13) + CHOOSE(CONTROL!$C$28, 0, 0)</f>
        <v>39.178600000000003</v>
      </c>
      <c r="E388" s="4">
        <f>180.830551835993 * CHOOSE(CONTROL!$C$9, $C$13, 100%, $E$13) + CHOOSE(CONTROL!$C$28, 0, 0)</f>
        <v>180.83055183599299</v>
      </c>
    </row>
    <row r="389" spans="1:5" ht="15">
      <c r="A389" s="13">
        <v>53358</v>
      </c>
      <c r="B389" s="4">
        <f>26.9971 * CHOOSE(CONTROL!$C$9, $C$13, 100%, $E$13) + CHOOSE(CONTROL!$C$28, 0.0003, 0)</f>
        <v>26.997399999999999</v>
      </c>
      <c r="C389" s="4">
        <f>26.6339 * CHOOSE(CONTROL!$C$9, $C$13, 100%, $E$13) + CHOOSE(CONTROL!$C$28, 0.0003, 0)</f>
        <v>26.6342</v>
      </c>
      <c r="D389" s="4">
        <f>37.6637 * CHOOSE(CONTROL!$C$9, $C$13, 100%, $E$13) + CHOOSE(CONTROL!$C$28, 0, 0)</f>
        <v>37.663699999999999</v>
      </c>
      <c r="E389" s="4">
        <f>173.29822456333 * CHOOSE(CONTROL!$C$9, $C$13, 100%, $E$13) + CHOOSE(CONTROL!$C$28, 0, 0)</f>
        <v>173.29822456333</v>
      </c>
    </row>
    <row r="390" spans="1:5" ht="15">
      <c r="A390" s="13">
        <v>53386</v>
      </c>
      <c r="B390" s="4">
        <f>27.6198 * CHOOSE(CONTROL!$C$9, $C$13, 100%, $E$13) + CHOOSE(CONTROL!$C$28, 0.0003, 0)</f>
        <v>27.620100000000001</v>
      </c>
      <c r="C390" s="4">
        <f>27.2565 * CHOOSE(CONTROL!$C$9, $C$13, 100%, $E$13) + CHOOSE(CONTROL!$C$28, 0.0003, 0)</f>
        <v>27.256799999999998</v>
      </c>
      <c r="D390" s="4">
        <f>38.9277 * CHOOSE(CONTROL!$C$9, $C$13, 100%, $E$13) + CHOOSE(CONTROL!$C$28, 0, 0)</f>
        <v>38.927700000000002</v>
      </c>
      <c r="E390" s="4">
        <f>177.413007367072 * CHOOSE(CONTROL!$C$9, $C$13, 100%, $E$13) + CHOOSE(CONTROL!$C$28, 0, 0)</f>
        <v>177.413007367072</v>
      </c>
    </row>
    <row r="391" spans="1:5" ht="15">
      <c r="A391" s="13">
        <v>53417</v>
      </c>
      <c r="B391" s="4">
        <f>29.2549 * CHOOSE(CONTROL!$C$9, $C$13, 100%, $E$13) + CHOOSE(CONTROL!$C$28, 0.0003, 0)</f>
        <v>29.255199999999999</v>
      </c>
      <c r="C391" s="4">
        <f>28.8916 * CHOOSE(CONTROL!$C$9, $C$13, 100%, $E$13) + CHOOSE(CONTROL!$C$28, 0.0003, 0)</f>
        <v>28.8919</v>
      </c>
      <c r="D391" s="4">
        <f>40.9063 * CHOOSE(CONTROL!$C$9, $C$13, 100%, $E$13) + CHOOSE(CONTROL!$C$28, 0, 0)</f>
        <v>40.906300000000002</v>
      </c>
      <c r="E391" s="4">
        <f>188.218645682539 * CHOOSE(CONTROL!$C$9, $C$13, 100%, $E$13) + CHOOSE(CONTROL!$C$28, 0, 0)</f>
        <v>188.21864568253901</v>
      </c>
    </row>
    <row r="392" spans="1:5" ht="15">
      <c r="A392" s="13">
        <v>53447</v>
      </c>
      <c r="B392" s="4">
        <f>30.4167 * CHOOSE(CONTROL!$C$9, $C$13, 100%, $E$13) + CHOOSE(CONTROL!$C$28, 0.0003, 0)</f>
        <v>30.416999999999998</v>
      </c>
      <c r="C392" s="4">
        <f>30.0534 * CHOOSE(CONTROL!$C$9, $C$13, 100%, $E$13) + CHOOSE(CONTROL!$C$28, 0.0003, 0)</f>
        <v>30.053699999999999</v>
      </c>
      <c r="D392" s="4">
        <f>42.046 * CHOOSE(CONTROL!$C$9, $C$13, 100%, $E$13) + CHOOSE(CONTROL!$C$28, 0, 0)</f>
        <v>42.045999999999999</v>
      </c>
      <c r="E392" s="4">
        <f>195.896195709743 * CHOOSE(CONTROL!$C$9, $C$13, 100%, $E$13) + CHOOSE(CONTROL!$C$28, 0, 0)</f>
        <v>195.89619570974301</v>
      </c>
    </row>
    <row r="393" spans="1:5" ht="15">
      <c r="A393" s="13">
        <v>53478</v>
      </c>
      <c r="B393" s="4">
        <f>31.1265 * CHOOSE(CONTROL!$C$9, $C$13, 100%, $E$13) + CHOOSE(CONTROL!$C$28, 0.013, 0)</f>
        <v>31.139500000000002</v>
      </c>
      <c r="C393" s="4">
        <f>30.7632 * CHOOSE(CONTROL!$C$9, $C$13, 100%, $E$13) + CHOOSE(CONTROL!$C$28, 0.013, 0)</f>
        <v>30.776200000000003</v>
      </c>
      <c r="D393" s="4">
        <f>41.5957 * CHOOSE(CONTROL!$C$9, $C$13, 100%, $E$13) + CHOOSE(CONTROL!$C$28, 0, 0)</f>
        <v>41.595700000000001</v>
      </c>
      <c r="E393" s="4">
        <f>200.586994771171 * CHOOSE(CONTROL!$C$9, $C$13, 100%, $E$13) + CHOOSE(CONTROL!$C$28, 0, 0)</f>
        <v>200.58699477117099</v>
      </c>
    </row>
    <row r="394" spans="1:5" ht="15">
      <c r="A394" s="13">
        <v>53508</v>
      </c>
      <c r="B394" s="4">
        <f>31.2225 * CHOOSE(CONTROL!$C$9, $C$13, 100%, $E$13) + CHOOSE(CONTROL!$C$28, 0.013, 0)</f>
        <v>31.235500000000002</v>
      </c>
      <c r="C394" s="4">
        <f>30.8593 * CHOOSE(CONTROL!$C$9, $C$13, 100%, $E$13) + CHOOSE(CONTROL!$C$28, 0.013, 0)</f>
        <v>30.872300000000003</v>
      </c>
      <c r="D394" s="4">
        <f>41.9624 * CHOOSE(CONTROL!$C$9, $C$13, 100%, $E$13) + CHOOSE(CONTROL!$C$28, 0, 0)</f>
        <v>41.962400000000002</v>
      </c>
      <c r="E394" s="4">
        <f>201.221679351398 * CHOOSE(CONTROL!$C$9, $C$13, 100%, $E$13) + CHOOSE(CONTROL!$C$28, 0, 0)</f>
        <v>201.221679351398</v>
      </c>
    </row>
    <row r="395" spans="1:5" ht="15">
      <c r="A395" s="13">
        <v>53539</v>
      </c>
      <c r="B395" s="4">
        <f>31.2129 * CHOOSE(CONTROL!$C$9, $C$13, 100%, $E$13) + CHOOSE(CONTROL!$C$28, 0.013, 0)</f>
        <v>31.225900000000003</v>
      </c>
      <c r="C395" s="4">
        <f>30.8496 * CHOOSE(CONTROL!$C$9, $C$13, 100%, $E$13) + CHOOSE(CONTROL!$C$28, 0.013, 0)</f>
        <v>30.8626</v>
      </c>
      <c r="D395" s="4">
        <f>42.6243 * CHOOSE(CONTROL!$C$9, $C$13, 100%, $E$13) + CHOOSE(CONTROL!$C$28, 0, 0)</f>
        <v>42.624299999999998</v>
      </c>
      <c r="E395" s="4">
        <f>201.157677544989 * CHOOSE(CONTROL!$C$9, $C$13, 100%, $E$13) + CHOOSE(CONTROL!$C$28, 0, 0)</f>
        <v>201.15767754498901</v>
      </c>
    </row>
    <row r="396" spans="1:5" ht="15">
      <c r="A396" s="13">
        <v>53570</v>
      </c>
      <c r="B396" s="4">
        <f>31.9416 * CHOOSE(CONTROL!$C$9, $C$13, 100%, $E$13) + CHOOSE(CONTROL!$C$28, 0.013, 0)</f>
        <v>31.954600000000003</v>
      </c>
      <c r="C396" s="4">
        <f>31.5784 * CHOOSE(CONTROL!$C$9, $C$13, 100%, $E$13) + CHOOSE(CONTROL!$C$28, 0.013, 0)</f>
        <v>31.5914</v>
      </c>
      <c r="D396" s="4">
        <f>42.1872 * CHOOSE(CONTROL!$C$9, $C$13, 100%, $E$13) + CHOOSE(CONTROL!$C$28, 0, 0)</f>
        <v>42.187199999999997</v>
      </c>
      <c r="E396" s="4">
        <f>205.973813477302 * CHOOSE(CONTROL!$C$9, $C$13, 100%, $E$13) + CHOOSE(CONTROL!$C$28, 0, 0)</f>
        <v>205.973813477302</v>
      </c>
    </row>
    <row r="397" spans="1:5" ht="15">
      <c r="A397" s="13">
        <v>53600</v>
      </c>
      <c r="B397" s="4">
        <f>30.6996 * CHOOSE(CONTROL!$C$9, $C$13, 100%, $E$13) + CHOOSE(CONTROL!$C$28, 0.013, 0)</f>
        <v>30.712600000000002</v>
      </c>
      <c r="C397" s="4">
        <f>30.3363 * CHOOSE(CONTROL!$C$9, $C$13, 100%, $E$13) + CHOOSE(CONTROL!$C$28, 0.013, 0)</f>
        <v>30.349300000000003</v>
      </c>
      <c r="D397" s="4">
        <f>41.9807 * CHOOSE(CONTROL!$C$9, $C$13, 100%, $E$13) + CHOOSE(CONTROL!$C$28, 0, 0)</f>
        <v>41.980699999999999</v>
      </c>
      <c r="E397" s="4">
        <f>197.765581805286 * CHOOSE(CONTROL!$C$9, $C$13, 100%, $E$13) + CHOOSE(CONTROL!$C$28, 0, 0)</f>
        <v>197.76558180528599</v>
      </c>
    </row>
    <row r="398" spans="1:5" ht="15">
      <c r="A398" s="13">
        <v>53631</v>
      </c>
      <c r="B398" s="4">
        <f>29.7053 * CHOOSE(CONTROL!$C$9, $C$13, 100%, $E$13) + CHOOSE(CONTROL!$C$28, 0.0003, 0)</f>
        <v>29.7056</v>
      </c>
      <c r="C398" s="4">
        <f>29.342 * CHOOSE(CONTROL!$C$9, $C$13, 100%, $E$13) + CHOOSE(CONTROL!$C$28, 0.0003, 0)</f>
        <v>29.342299999999998</v>
      </c>
      <c r="D398" s="4">
        <f>41.4278 * CHOOSE(CONTROL!$C$9, $C$13, 100%, $E$13) + CHOOSE(CONTROL!$C$28, 0, 0)</f>
        <v>41.427799999999998</v>
      </c>
      <c r="E398" s="4">
        <f>191.19472968058 * CHOOSE(CONTROL!$C$9, $C$13, 100%, $E$13) + CHOOSE(CONTROL!$C$28, 0, 0)</f>
        <v>191.19472968058</v>
      </c>
    </row>
    <row r="399" spans="1:5" ht="15">
      <c r="A399" s="13">
        <v>53661</v>
      </c>
      <c r="B399" s="4">
        <f>29.0648 * CHOOSE(CONTROL!$C$9, $C$13, 100%, $E$13) + CHOOSE(CONTROL!$C$28, 0.0003, 0)</f>
        <v>29.065100000000001</v>
      </c>
      <c r="C399" s="4">
        <f>28.7016 * CHOOSE(CONTROL!$C$9, $C$13, 100%, $E$13) + CHOOSE(CONTROL!$C$28, 0.0003, 0)</f>
        <v>28.701899999999998</v>
      </c>
      <c r="D399" s="4">
        <f>41.2377 * CHOOSE(CONTROL!$C$9, $C$13, 100%, $E$13) + CHOOSE(CONTROL!$C$28, 0, 0)</f>
        <v>41.237699999999997</v>
      </c>
      <c r="E399" s="4">
        <f>186.962610231753 * CHOOSE(CONTROL!$C$9, $C$13, 100%, $E$13) + CHOOSE(CONTROL!$C$28, 0, 0)</f>
        <v>186.96261023175299</v>
      </c>
    </row>
    <row r="400" spans="1:5" ht="15">
      <c r="A400" s="13">
        <v>53692</v>
      </c>
      <c r="B400" s="4">
        <f>28.6218 * CHOOSE(CONTROL!$C$9, $C$13, 100%, $E$13) + CHOOSE(CONTROL!$C$28, 0.0003, 0)</f>
        <v>28.6221</v>
      </c>
      <c r="C400" s="4">
        <f>28.2585 * CHOOSE(CONTROL!$C$9, $C$13, 100%, $E$13) + CHOOSE(CONTROL!$C$28, 0.0003, 0)</f>
        <v>28.258800000000001</v>
      </c>
      <c r="D400" s="4">
        <f>39.8381 * CHOOSE(CONTROL!$C$9, $C$13, 100%, $E$13) + CHOOSE(CONTROL!$C$28, 0, 0)</f>
        <v>39.838099999999997</v>
      </c>
      <c r="E400" s="4">
        <f>184.03452758852 * CHOOSE(CONTROL!$C$9, $C$13, 100%, $E$13) + CHOOSE(CONTROL!$C$28, 0, 0)</f>
        <v>184.03452758852001</v>
      </c>
    </row>
    <row r="401" spans="1:5" ht="15">
      <c r="A401" s="13">
        <v>53723</v>
      </c>
      <c r="B401" s="4">
        <f>27.4095 * CHOOSE(CONTROL!$C$9, $C$13, 100%, $E$13) + CHOOSE(CONTROL!$C$28, 0.0003, 0)</f>
        <v>27.409800000000001</v>
      </c>
      <c r="C401" s="4">
        <f>27.0462 * CHOOSE(CONTROL!$C$9, $C$13, 100%, $E$13) + CHOOSE(CONTROL!$C$28, 0.0003, 0)</f>
        <v>27.046499999999998</v>
      </c>
      <c r="D401" s="4">
        <f>38.2965 * CHOOSE(CONTROL!$C$9, $C$13, 100%, $E$13) + CHOOSE(CONTROL!$C$28, 0, 0)</f>
        <v>38.296500000000002</v>
      </c>
      <c r="E401" s="4">
        <f>176.368741706696 * CHOOSE(CONTROL!$C$9, $C$13, 100%, $E$13) + CHOOSE(CONTROL!$C$28, 0, 0)</f>
        <v>176.368741706696</v>
      </c>
    </row>
    <row r="402" spans="1:5" ht="15">
      <c r="A402" s="13">
        <v>53751</v>
      </c>
      <c r="B402" s="4">
        <f>28.0419 * CHOOSE(CONTROL!$C$9, $C$13, 100%, $E$13) + CHOOSE(CONTROL!$C$28, 0.0003, 0)</f>
        <v>28.042199999999998</v>
      </c>
      <c r="C402" s="4">
        <f>27.6787 * CHOOSE(CONTROL!$C$9, $C$13, 100%, $E$13) + CHOOSE(CONTROL!$C$28, 0.0003, 0)</f>
        <v>27.678999999999998</v>
      </c>
      <c r="D402" s="4">
        <f>39.5827 * CHOOSE(CONTROL!$C$9, $C$13, 100%, $E$13) + CHOOSE(CONTROL!$C$28, 0, 0)</f>
        <v>39.582700000000003</v>
      </c>
      <c r="E402" s="4">
        <f>180.556430688052 * CHOOSE(CONTROL!$C$9, $C$13, 100%, $E$13) + CHOOSE(CONTROL!$C$28, 0, 0)</f>
        <v>180.55643068805199</v>
      </c>
    </row>
    <row r="403" spans="1:5" ht="15">
      <c r="A403" s="13">
        <v>53782</v>
      </c>
      <c r="B403" s="4">
        <f>29.7028 * CHOOSE(CONTROL!$C$9, $C$13, 100%, $E$13) + CHOOSE(CONTROL!$C$28, 0.0003, 0)</f>
        <v>29.703099999999999</v>
      </c>
      <c r="C403" s="4">
        <f>29.3395 * CHOOSE(CONTROL!$C$9, $C$13, 100%, $E$13) + CHOOSE(CONTROL!$C$28, 0.0003, 0)</f>
        <v>29.3398</v>
      </c>
      <c r="D403" s="4">
        <f>41.5963 * CHOOSE(CONTROL!$C$9, $C$13, 100%, $E$13) + CHOOSE(CONTROL!$C$28, 0, 0)</f>
        <v>41.596299999999999</v>
      </c>
      <c r="E403" s="4">
        <f>191.553524500402 * CHOOSE(CONTROL!$C$9, $C$13, 100%, $E$13) + CHOOSE(CONTROL!$C$28, 0, 0)</f>
        <v>191.55352450040201</v>
      </c>
    </row>
    <row r="404" spans="1:5" ht="15">
      <c r="A404" s="13">
        <v>53812</v>
      </c>
      <c r="B404" s="4">
        <f>30.8828 * CHOOSE(CONTROL!$C$9, $C$13, 100%, $E$13) + CHOOSE(CONTROL!$C$28, 0.0003, 0)</f>
        <v>30.883099999999999</v>
      </c>
      <c r="C404" s="4">
        <f>30.5195 * CHOOSE(CONTROL!$C$9, $C$13, 100%, $E$13) + CHOOSE(CONTROL!$C$28, 0.0003, 0)</f>
        <v>30.5198</v>
      </c>
      <c r="D404" s="4">
        <f>42.7562 * CHOOSE(CONTROL!$C$9, $C$13, 100%, $E$13) + CHOOSE(CONTROL!$C$28, 0, 0)</f>
        <v>42.7562</v>
      </c>
      <c r="E404" s="4">
        <f>199.36710620962 * CHOOSE(CONTROL!$C$9, $C$13, 100%, $E$13) + CHOOSE(CONTROL!$C$28, 0, 0)</f>
        <v>199.36710620962</v>
      </c>
    </row>
    <row r="405" spans="1:5" ht="15">
      <c r="A405" s="13">
        <v>53843</v>
      </c>
      <c r="B405" s="4">
        <f>31.6038 * CHOOSE(CONTROL!$C$9, $C$13, 100%, $E$13) + CHOOSE(CONTROL!$C$28, 0.013, 0)</f>
        <v>31.616800000000001</v>
      </c>
      <c r="C405" s="4">
        <f>31.2405 * CHOOSE(CONTROL!$C$9, $C$13, 100%, $E$13) + CHOOSE(CONTROL!$C$28, 0.013, 0)</f>
        <v>31.253500000000003</v>
      </c>
      <c r="D405" s="4">
        <f>42.2979 * CHOOSE(CONTROL!$C$9, $C$13, 100%, $E$13) + CHOOSE(CONTROL!$C$28, 0, 0)</f>
        <v>42.297899999999998</v>
      </c>
      <c r="E405" s="4">
        <f>204.141017368535 * CHOOSE(CONTROL!$C$9, $C$13, 100%, $E$13) + CHOOSE(CONTROL!$C$28, 0, 0)</f>
        <v>204.14101736853499</v>
      </c>
    </row>
    <row r="406" spans="1:5" ht="15">
      <c r="A406" s="13">
        <v>53873</v>
      </c>
      <c r="B406" s="4">
        <f>31.7014 * CHOOSE(CONTROL!$C$9, $C$13, 100%, $E$13) + CHOOSE(CONTROL!$C$28, 0.013, 0)</f>
        <v>31.714400000000001</v>
      </c>
      <c r="C406" s="4">
        <f>31.3381 * CHOOSE(CONTROL!$C$9, $C$13, 100%, $E$13) + CHOOSE(CONTROL!$C$28, 0.013, 0)</f>
        <v>31.351100000000002</v>
      </c>
      <c r="D406" s="4">
        <f>42.6711 * CHOOSE(CONTROL!$C$9, $C$13, 100%, $E$13) + CHOOSE(CONTROL!$C$28, 0, 0)</f>
        <v>42.671100000000003</v>
      </c>
      <c r="E406" s="4">
        <f>204.786947360475 * CHOOSE(CONTROL!$C$9, $C$13, 100%, $E$13) + CHOOSE(CONTROL!$C$28, 0, 0)</f>
        <v>204.78694736047501</v>
      </c>
    </row>
    <row r="407" spans="1:5" ht="15">
      <c r="A407" s="13">
        <v>53904</v>
      </c>
      <c r="B407" s="4">
        <f>31.6915 * CHOOSE(CONTROL!$C$9, $C$13, 100%, $E$13) + CHOOSE(CONTROL!$C$28, 0.013, 0)</f>
        <v>31.704500000000003</v>
      </c>
      <c r="C407" s="4">
        <f>31.3282 * CHOOSE(CONTROL!$C$9, $C$13, 100%, $E$13) + CHOOSE(CONTROL!$C$28, 0.013, 0)</f>
        <v>31.341200000000001</v>
      </c>
      <c r="D407" s="4">
        <f>43.3447 * CHOOSE(CONTROL!$C$9, $C$13, 100%, $E$13) + CHOOSE(CONTROL!$C$28, 0, 0)</f>
        <v>43.344700000000003</v>
      </c>
      <c r="E407" s="4">
        <f>204.721811562968 * CHOOSE(CONTROL!$C$9, $C$13, 100%, $E$13) + CHOOSE(CONTROL!$C$28, 0, 0)</f>
        <v>204.72181156296801</v>
      </c>
    </row>
    <row r="408" spans="1:5" ht="15">
      <c r="A408" s="13">
        <v>53935</v>
      </c>
      <c r="B408" s="4">
        <f>32.4318 * CHOOSE(CONTROL!$C$9, $C$13, 100%, $E$13) + CHOOSE(CONTROL!$C$28, 0.013, 0)</f>
        <v>32.444800000000001</v>
      </c>
      <c r="C408" s="4">
        <f>32.0685 * CHOOSE(CONTROL!$C$9, $C$13, 100%, $E$13) + CHOOSE(CONTROL!$C$28, 0.013, 0)</f>
        <v>32.081499999999998</v>
      </c>
      <c r="D408" s="4">
        <f>42.8999 * CHOOSE(CONTROL!$C$9, $C$13, 100%, $E$13) + CHOOSE(CONTROL!$C$28, 0, 0)</f>
        <v>42.899900000000002</v>
      </c>
      <c r="E408" s="4">
        <f>209.623280325333 * CHOOSE(CONTROL!$C$9, $C$13, 100%, $E$13) + CHOOSE(CONTROL!$C$28, 0, 0)</f>
        <v>209.62328032533301</v>
      </c>
    </row>
    <row r="409" spans="1:5" ht="15">
      <c r="A409" s="13">
        <v>53965</v>
      </c>
      <c r="B409" s="4">
        <f>31.1702 * CHOOSE(CONTROL!$C$9, $C$13, 100%, $E$13) + CHOOSE(CONTROL!$C$28, 0.013, 0)</f>
        <v>31.183200000000003</v>
      </c>
      <c r="C409" s="4">
        <f>30.8069 * CHOOSE(CONTROL!$C$9, $C$13, 100%, $E$13) + CHOOSE(CONTROL!$C$28, 0.013, 0)</f>
        <v>30.819900000000001</v>
      </c>
      <c r="D409" s="4">
        <f>42.6897 * CHOOSE(CONTROL!$C$9, $C$13, 100%, $E$13) + CHOOSE(CONTROL!$C$28, 0, 0)</f>
        <v>42.689700000000002</v>
      </c>
      <c r="E409" s="4">
        <f>201.269614295123 * CHOOSE(CONTROL!$C$9, $C$13, 100%, $E$13) + CHOOSE(CONTROL!$C$28, 0, 0)</f>
        <v>201.26961429512301</v>
      </c>
    </row>
    <row r="410" spans="1:5" ht="15">
      <c r="A410" s="13">
        <v>53996</v>
      </c>
      <c r="B410" s="4">
        <f>30.1602 * CHOOSE(CONTROL!$C$9, $C$13, 100%, $E$13) + CHOOSE(CONTROL!$C$28, 0.0003, 0)</f>
        <v>30.160499999999999</v>
      </c>
      <c r="C410" s="4">
        <f>29.7969 * CHOOSE(CONTROL!$C$9, $C$13, 100%, $E$13) + CHOOSE(CONTROL!$C$28, 0.0003, 0)</f>
        <v>29.7972</v>
      </c>
      <c r="D410" s="4">
        <f>42.127 * CHOOSE(CONTROL!$C$9, $C$13, 100%, $E$13) + CHOOSE(CONTROL!$C$28, 0, 0)</f>
        <v>42.127000000000002</v>
      </c>
      <c r="E410" s="4">
        <f>194.582339084454 * CHOOSE(CONTROL!$C$9, $C$13, 100%, $E$13) + CHOOSE(CONTROL!$C$28, 0, 0)</f>
        <v>194.58233908445399</v>
      </c>
    </row>
    <row r="411" spans="1:5" ht="15">
      <c r="A411" s="13">
        <v>54026</v>
      </c>
      <c r="B411" s="4">
        <f>29.5097 * CHOOSE(CONTROL!$C$9, $C$13, 100%, $E$13) + CHOOSE(CONTROL!$C$28, 0.0003, 0)</f>
        <v>29.509999999999998</v>
      </c>
      <c r="C411" s="4">
        <f>29.1464 * CHOOSE(CONTROL!$C$9, $C$13, 100%, $E$13) + CHOOSE(CONTROL!$C$28, 0.0003, 0)</f>
        <v>29.146699999999999</v>
      </c>
      <c r="D411" s="4">
        <f>41.9335 * CHOOSE(CONTROL!$C$9, $C$13, 100%, $E$13) + CHOOSE(CONTROL!$C$28, 0, 0)</f>
        <v>41.933500000000002</v>
      </c>
      <c r="E411" s="4">
        <f>190.275234474336 * CHOOSE(CONTROL!$C$9, $C$13, 100%, $E$13) + CHOOSE(CONTROL!$C$28, 0, 0)</f>
        <v>190.275234474336</v>
      </c>
    </row>
    <row r="412" spans="1:5" ht="15">
      <c r="A412" s="13">
        <v>54057</v>
      </c>
      <c r="B412" s="4">
        <f>29.0597 * CHOOSE(CONTROL!$C$9, $C$13, 100%, $E$13) + CHOOSE(CONTROL!$C$28, 0.0003, 0)</f>
        <v>29.06</v>
      </c>
      <c r="C412" s="4">
        <f>28.6964 * CHOOSE(CONTROL!$C$9, $C$13, 100%, $E$13) + CHOOSE(CONTROL!$C$28, 0.0003, 0)</f>
        <v>28.6967</v>
      </c>
      <c r="D412" s="4">
        <f>40.5093 * CHOOSE(CONTROL!$C$9, $C$13, 100%, $E$13) + CHOOSE(CONTROL!$C$28, 0, 0)</f>
        <v>40.509300000000003</v>
      </c>
      <c r="E412" s="4">
        <f>187.295271738413 * CHOOSE(CONTROL!$C$9, $C$13, 100%, $E$13) + CHOOSE(CONTROL!$C$28, 0, 0)</f>
        <v>187.29527173841299</v>
      </c>
    </row>
    <row r="413" spans="1:5" ht="15">
      <c r="A413" s="13">
        <v>54088</v>
      </c>
      <c r="B413" s="4">
        <f>27.8284 * CHOOSE(CONTROL!$C$9, $C$13, 100%, $E$13) + CHOOSE(CONTROL!$C$28, 0.0003, 0)</f>
        <v>27.828699999999998</v>
      </c>
      <c r="C413" s="4">
        <f>27.4651 * CHOOSE(CONTROL!$C$9, $C$13, 100%, $E$13) + CHOOSE(CONTROL!$C$28, 0.0003, 0)</f>
        <v>27.465399999999999</v>
      </c>
      <c r="D413" s="4">
        <f>38.9404 * CHOOSE(CONTROL!$C$9, $C$13, 100%, $E$13) + CHOOSE(CONTROL!$C$28, 0, 0)</f>
        <v>38.940399999999997</v>
      </c>
      <c r="E413" s="4">
        <f>179.493662613006 * CHOOSE(CONTROL!$C$9, $C$13, 100%, $E$13) + CHOOSE(CONTROL!$C$28, 0, 0)</f>
        <v>179.49366261300599</v>
      </c>
    </row>
    <row r="414" spans="1:5" ht="15">
      <c r="A414" s="13">
        <v>54116</v>
      </c>
      <c r="B414" s="4">
        <f>28.4707 * CHOOSE(CONTROL!$C$9, $C$13, 100%, $E$13) + CHOOSE(CONTROL!$C$28, 0.0003, 0)</f>
        <v>28.471</v>
      </c>
      <c r="C414" s="4">
        <f>28.1075 * CHOOSE(CONTROL!$C$9, $C$13, 100%, $E$13) + CHOOSE(CONTROL!$C$28, 0.0003, 0)</f>
        <v>28.107800000000001</v>
      </c>
      <c r="D414" s="4">
        <f>40.2494 * CHOOSE(CONTROL!$C$9, $C$13, 100%, $E$13) + CHOOSE(CONTROL!$C$28, 0, 0)</f>
        <v>40.249400000000001</v>
      </c>
      <c r="E414" s="4">
        <f>183.755549531708 * CHOOSE(CONTROL!$C$9, $C$13, 100%, $E$13) + CHOOSE(CONTROL!$C$28, 0, 0)</f>
        <v>183.755549531708</v>
      </c>
    </row>
    <row r="415" spans="1:5" ht="15">
      <c r="A415" s="13">
        <v>54148</v>
      </c>
      <c r="B415" s="4">
        <f>30.1577 * CHOOSE(CONTROL!$C$9, $C$13, 100%, $E$13) + CHOOSE(CONTROL!$C$28, 0.0003, 0)</f>
        <v>30.157999999999998</v>
      </c>
      <c r="C415" s="4">
        <f>29.7944 * CHOOSE(CONTROL!$C$9, $C$13, 100%, $E$13) + CHOOSE(CONTROL!$C$28, 0.0003, 0)</f>
        <v>29.794699999999999</v>
      </c>
      <c r="D415" s="4">
        <f>42.2985 * CHOOSE(CONTROL!$C$9, $C$13, 100%, $E$13) + CHOOSE(CONTROL!$C$28, 0, 0)</f>
        <v>42.298499999999997</v>
      </c>
      <c r="E415" s="4">
        <f>194.947491070646 * CHOOSE(CONTROL!$C$9, $C$13, 100%, $E$13) + CHOOSE(CONTROL!$C$28, 0, 0)</f>
        <v>194.94749107064601</v>
      </c>
    </row>
    <row r="416" spans="1:5" ht="15">
      <c r="A416" s="13">
        <v>54178</v>
      </c>
      <c r="B416" s="4">
        <f>31.3563 * CHOOSE(CONTROL!$C$9, $C$13, 100%, $E$13) + CHOOSE(CONTROL!$C$28, 0.0003, 0)</f>
        <v>31.3566</v>
      </c>
      <c r="C416" s="4">
        <f>30.993 * CHOOSE(CONTROL!$C$9, $C$13, 100%, $E$13) + CHOOSE(CONTROL!$C$28, 0.0003, 0)</f>
        <v>30.993299999999998</v>
      </c>
      <c r="D416" s="4">
        <f>43.4789 * CHOOSE(CONTROL!$C$9, $C$13, 100%, $E$13) + CHOOSE(CONTROL!$C$28, 0, 0)</f>
        <v>43.478900000000003</v>
      </c>
      <c r="E416" s="4">
        <f>202.899514686294 * CHOOSE(CONTROL!$C$9, $C$13, 100%, $E$13) + CHOOSE(CONTROL!$C$28, 0, 0)</f>
        <v>202.899514686294</v>
      </c>
    </row>
    <row r="417" spans="1:5" ht="15">
      <c r="A417" s="13">
        <v>54209</v>
      </c>
      <c r="B417" s="4">
        <f>32.0886 * CHOOSE(CONTROL!$C$9, $C$13, 100%, $E$13) + CHOOSE(CONTROL!$C$28, 0.013, 0)</f>
        <v>32.101599999999998</v>
      </c>
      <c r="C417" s="4">
        <f>31.7253 * CHOOSE(CONTROL!$C$9, $C$13, 100%, $E$13) + CHOOSE(CONTROL!$C$28, 0.013, 0)</f>
        <v>31.738300000000002</v>
      </c>
      <c r="D417" s="4">
        <f>43.0125 * CHOOSE(CONTROL!$C$9, $C$13, 100%, $E$13) + CHOOSE(CONTROL!$C$28, 0, 0)</f>
        <v>43.012500000000003</v>
      </c>
      <c r="E417" s="4">
        <f>207.758010532047 * CHOOSE(CONTROL!$C$9, $C$13, 100%, $E$13) + CHOOSE(CONTROL!$C$28, 0, 0)</f>
        <v>207.758010532047</v>
      </c>
    </row>
    <row r="418" spans="1:5" ht="15">
      <c r="A418" s="13">
        <v>54239</v>
      </c>
      <c r="B418" s="4">
        <f>32.1877 * CHOOSE(CONTROL!$C$9, $C$13, 100%, $E$13) + CHOOSE(CONTROL!$C$28, 0.013, 0)</f>
        <v>32.200699999999998</v>
      </c>
      <c r="C418" s="4">
        <f>31.8244 * CHOOSE(CONTROL!$C$9, $C$13, 100%, $E$13) + CHOOSE(CONTROL!$C$28, 0.013, 0)</f>
        <v>31.837400000000002</v>
      </c>
      <c r="D418" s="4">
        <f>43.3923 * CHOOSE(CONTROL!$C$9, $C$13, 100%, $E$13) + CHOOSE(CONTROL!$C$28, 0, 0)</f>
        <v>43.392299999999999</v>
      </c>
      <c r="E418" s="4">
        <f>208.415385183149 * CHOOSE(CONTROL!$C$9, $C$13, 100%, $E$13) + CHOOSE(CONTROL!$C$28, 0, 0)</f>
        <v>208.415385183149</v>
      </c>
    </row>
    <row r="419" spans="1:5" ht="15">
      <c r="A419" s="13">
        <v>54270</v>
      </c>
      <c r="B419" s="4">
        <f>32.1777 * CHOOSE(CONTROL!$C$9, $C$13, 100%, $E$13) + CHOOSE(CONTROL!$C$28, 0.013, 0)</f>
        <v>32.1907</v>
      </c>
      <c r="C419" s="4">
        <f>31.8144 * CHOOSE(CONTROL!$C$9, $C$13, 100%, $E$13) + CHOOSE(CONTROL!$C$28, 0.013, 0)</f>
        <v>31.827400000000001</v>
      </c>
      <c r="D419" s="4">
        <f>44.0778 * CHOOSE(CONTROL!$C$9, $C$13, 100%, $E$13) + CHOOSE(CONTROL!$C$28, 0, 0)</f>
        <v>44.077800000000003</v>
      </c>
      <c r="E419" s="4">
        <f>208.349095302366 * CHOOSE(CONTROL!$C$9, $C$13, 100%, $E$13) + CHOOSE(CONTROL!$C$28, 0, 0)</f>
        <v>208.34909530236601</v>
      </c>
    </row>
    <row r="420" spans="1:5" ht="15">
      <c r="A420" s="13">
        <v>54301</v>
      </c>
      <c r="B420" s="4">
        <f>32.9296 * CHOOSE(CONTROL!$C$9, $C$13, 100%, $E$13) + CHOOSE(CONTROL!$C$28, 0.013, 0)</f>
        <v>32.942599999999999</v>
      </c>
      <c r="C420" s="4">
        <f>32.5663 * CHOOSE(CONTROL!$C$9, $C$13, 100%, $E$13) + CHOOSE(CONTROL!$C$28, 0.013, 0)</f>
        <v>32.579299999999996</v>
      </c>
      <c r="D420" s="4">
        <f>43.6251 * CHOOSE(CONTROL!$C$9, $C$13, 100%, $E$13) + CHOOSE(CONTROL!$C$28, 0, 0)</f>
        <v>43.625100000000003</v>
      </c>
      <c r="E420" s="4">
        <f>213.33740883132 * CHOOSE(CONTROL!$C$9, $C$13, 100%, $E$13) + CHOOSE(CONTROL!$C$28, 0, 0)</f>
        <v>213.33740883132</v>
      </c>
    </row>
    <row r="421" spans="1:5" ht="15">
      <c r="A421" s="13">
        <v>54331</v>
      </c>
      <c r="B421" s="4">
        <f>31.6481 * CHOOSE(CONTROL!$C$9, $C$13, 100%, $E$13) + CHOOSE(CONTROL!$C$28, 0.013, 0)</f>
        <v>31.661100000000001</v>
      </c>
      <c r="C421" s="4">
        <f>31.2849 * CHOOSE(CONTROL!$C$9, $C$13, 100%, $E$13) + CHOOSE(CONTROL!$C$28, 0.013, 0)</f>
        <v>31.297900000000002</v>
      </c>
      <c r="D421" s="4">
        <f>43.4112 * CHOOSE(CONTROL!$C$9, $C$13, 100%, $E$13) + CHOOSE(CONTROL!$C$28, 0, 0)</f>
        <v>43.411200000000001</v>
      </c>
      <c r="E421" s="4">
        <f>204.835731620843 * CHOOSE(CONTROL!$C$9, $C$13, 100%, $E$13) + CHOOSE(CONTROL!$C$28, 0, 0)</f>
        <v>204.83573162084301</v>
      </c>
    </row>
    <row r="422" spans="1:5" ht="15">
      <c r="A422" s="13">
        <v>54362</v>
      </c>
      <c r="B422" s="4">
        <f>30.6223 * CHOOSE(CONTROL!$C$9, $C$13, 100%, $E$13) + CHOOSE(CONTROL!$C$28, 0.0003, 0)</f>
        <v>30.622599999999998</v>
      </c>
      <c r="C422" s="4">
        <f>30.259 * CHOOSE(CONTROL!$C$9, $C$13, 100%, $E$13) + CHOOSE(CONTROL!$C$28, 0.0003, 0)</f>
        <v>30.2593</v>
      </c>
      <c r="D422" s="4">
        <f>42.8386 * CHOOSE(CONTROL!$C$9, $C$13, 100%, $E$13) + CHOOSE(CONTROL!$C$28, 0, 0)</f>
        <v>42.8386</v>
      </c>
      <c r="E422" s="4">
        <f>198.029970527076 * CHOOSE(CONTROL!$C$9, $C$13, 100%, $E$13) + CHOOSE(CONTROL!$C$28, 0, 0)</f>
        <v>198.02997052707599</v>
      </c>
    </row>
    <row r="423" spans="1:5" ht="15">
      <c r="A423" s="13">
        <v>54392</v>
      </c>
      <c r="B423" s="4">
        <f>29.9616 * CHOOSE(CONTROL!$C$9, $C$13, 100%, $E$13) + CHOOSE(CONTROL!$C$28, 0.0003, 0)</f>
        <v>29.9619</v>
      </c>
      <c r="C423" s="4">
        <f>29.5983 * CHOOSE(CONTROL!$C$9, $C$13, 100%, $E$13) + CHOOSE(CONTROL!$C$28, 0.0003, 0)</f>
        <v>29.598599999999998</v>
      </c>
      <c r="D423" s="4">
        <f>42.6417 * CHOOSE(CONTROL!$C$9, $C$13, 100%, $E$13) + CHOOSE(CONTROL!$C$28, 0, 0)</f>
        <v>42.6417</v>
      </c>
      <c r="E423" s="4">
        <f>193.646552160271 * CHOOSE(CONTROL!$C$9, $C$13, 100%, $E$13) + CHOOSE(CONTROL!$C$28, 0, 0)</f>
        <v>193.646552160271</v>
      </c>
    </row>
    <row r="424" spans="1:5" ht="15">
      <c r="A424" s="13">
        <v>54423</v>
      </c>
      <c r="B424" s="4">
        <f>29.5045 * CHOOSE(CONTROL!$C$9, $C$13, 100%, $E$13) + CHOOSE(CONTROL!$C$28, 0.0003, 0)</f>
        <v>29.504799999999999</v>
      </c>
      <c r="C424" s="4">
        <f>29.1412 * CHOOSE(CONTROL!$C$9, $C$13, 100%, $E$13) + CHOOSE(CONTROL!$C$28, 0.0003, 0)</f>
        <v>29.141500000000001</v>
      </c>
      <c r="D424" s="4">
        <f>41.1923 * CHOOSE(CONTROL!$C$9, $C$13, 100%, $E$13) + CHOOSE(CONTROL!$C$28, 0, 0)</f>
        <v>41.192300000000003</v>
      </c>
      <c r="E424" s="4">
        <f>190.613790114428 * CHOOSE(CONTROL!$C$9, $C$13, 100%, $E$13) + CHOOSE(CONTROL!$C$28, 0, 0)</f>
        <v>190.61379011442801</v>
      </c>
    </row>
    <row r="425" spans="1:5" ht="15">
      <c r="A425" s="13">
        <v>54454</v>
      </c>
      <c r="B425" s="4">
        <f>28.2538 * CHOOSE(CONTROL!$C$9, $C$13, 100%, $E$13) + CHOOSE(CONTROL!$C$28, 0.0003, 0)</f>
        <v>28.254099999999998</v>
      </c>
      <c r="C425" s="4">
        <f>27.8905 * CHOOSE(CONTROL!$C$9, $C$13, 100%, $E$13) + CHOOSE(CONTROL!$C$28, 0.0003, 0)</f>
        <v>27.890799999999999</v>
      </c>
      <c r="D425" s="4">
        <f>39.5957 * CHOOSE(CONTROL!$C$9, $C$13, 100%, $E$13) + CHOOSE(CONTROL!$C$28, 0, 0)</f>
        <v>39.595700000000001</v>
      </c>
      <c r="E425" s="4">
        <f>182.673951214159 * CHOOSE(CONTROL!$C$9, $C$13, 100%, $E$13) + CHOOSE(CONTROL!$C$28, 0, 0)</f>
        <v>182.67395121415899</v>
      </c>
    </row>
    <row r="426" spans="1:5" ht="15">
      <c r="A426" s="13">
        <v>54482</v>
      </c>
      <c r="B426" s="4">
        <f>28.9063 * CHOOSE(CONTROL!$C$9, $C$13, 100%, $E$13) + CHOOSE(CONTROL!$C$28, 0.0003, 0)</f>
        <v>28.906600000000001</v>
      </c>
      <c r="C426" s="4">
        <f>28.543 * CHOOSE(CONTROL!$C$9, $C$13, 100%, $E$13) + CHOOSE(CONTROL!$C$28, 0.0003, 0)</f>
        <v>28.543299999999999</v>
      </c>
      <c r="D426" s="4">
        <f>40.9278 * CHOOSE(CONTROL!$C$9, $C$13, 100%, $E$13) + CHOOSE(CONTROL!$C$28, 0, 0)</f>
        <v>40.927799999999998</v>
      </c>
      <c r="E426" s="4">
        <f>187.011350717482 * CHOOSE(CONTROL!$C$9, $C$13, 100%, $E$13) + CHOOSE(CONTROL!$C$28, 0, 0)</f>
        <v>187.011350717482</v>
      </c>
    </row>
    <row r="427" spans="1:5" ht="15">
      <c r="A427" s="13">
        <v>54513</v>
      </c>
      <c r="B427" s="4">
        <f>30.6198 * CHOOSE(CONTROL!$C$9, $C$13, 100%, $E$13) + CHOOSE(CONTROL!$C$28, 0.0003, 0)</f>
        <v>30.620100000000001</v>
      </c>
      <c r="C427" s="4">
        <f>30.2565 * CHOOSE(CONTROL!$C$9, $C$13, 100%, $E$13) + CHOOSE(CONTROL!$C$28, 0.0003, 0)</f>
        <v>30.256799999999998</v>
      </c>
      <c r="D427" s="4">
        <f>43.0132 * CHOOSE(CONTROL!$C$9, $C$13, 100%, $E$13) + CHOOSE(CONTROL!$C$28, 0, 0)</f>
        <v>43.013199999999998</v>
      </c>
      <c r="E427" s="4">
        <f>198.401592316616 * CHOOSE(CONTROL!$C$9, $C$13, 100%, $E$13) + CHOOSE(CONTROL!$C$28, 0, 0)</f>
        <v>198.40159231661599</v>
      </c>
    </row>
    <row r="428" spans="1:5" ht="15">
      <c r="A428" s="13">
        <v>54543</v>
      </c>
      <c r="B428" s="4">
        <f>31.8372 * CHOOSE(CONTROL!$C$9, $C$13, 100%, $E$13) + CHOOSE(CONTROL!$C$28, 0.0003, 0)</f>
        <v>31.837499999999999</v>
      </c>
      <c r="C428" s="4">
        <f>31.4739 * CHOOSE(CONTROL!$C$9, $C$13, 100%, $E$13) + CHOOSE(CONTROL!$C$28, 0.0003, 0)</f>
        <v>31.4742</v>
      </c>
      <c r="D428" s="4">
        <f>44.2144 * CHOOSE(CONTROL!$C$9, $C$13, 100%, $E$13) + CHOOSE(CONTROL!$C$28, 0, 0)</f>
        <v>44.214399999999998</v>
      </c>
      <c r="E428" s="4">
        <f>206.494510767729 * CHOOSE(CONTROL!$C$9, $C$13, 100%, $E$13) + CHOOSE(CONTROL!$C$28, 0, 0)</f>
        <v>206.494510767729</v>
      </c>
    </row>
    <row r="429" spans="1:5" ht="15">
      <c r="A429" s="13">
        <v>54574</v>
      </c>
      <c r="B429" s="4">
        <f>32.581 * CHOOSE(CONTROL!$C$9, $C$13, 100%, $E$13) + CHOOSE(CONTROL!$C$28, 0.013, 0)</f>
        <v>32.594000000000001</v>
      </c>
      <c r="C429" s="4">
        <f>32.2178 * CHOOSE(CONTROL!$C$9, $C$13, 100%, $E$13) + CHOOSE(CONTROL!$C$28, 0.013, 0)</f>
        <v>32.230799999999995</v>
      </c>
      <c r="D429" s="4">
        <f>43.7397 * CHOOSE(CONTROL!$C$9, $C$13, 100%, $E$13) + CHOOSE(CONTROL!$C$28, 0, 0)</f>
        <v>43.739699999999999</v>
      </c>
      <c r="E429" s="4">
        <f>211.439089981174 * CHOOSE(CONTROL!$C$9, $C$13, 100%, $E$13) + CHOOSE(CONTROL!$C$28, 0, 0)</f>
        <v>211.43908998117399</v>
      </c>
    </row>
    <row r="430" spans="1:5" ht="15">
      <c r="A430" s="13">
        <v>54604</v>
      </c>
      <c r="B430" s="4">
        <f>32.6817 * CHOOSE(CONTROL!$C$9, $C$13, 100%, $E$13) + CHOOSE(CONTROL!$C$28, 0.013, 0)</f>
        <v>32.694699999999997</v>
      </c>
      <c r="C430" s="4">
        <f>32.3184 * CHOOSE(CONTROL!$C$9, $C$13, 100%, $E$13) + CHOOSE(CONTROL!$C$28, 0.013, 0)</f>
        <v>32.331399999999995</v>
      </c>
      <c r="D430" s="4">
        <f>44.1263 * CHOOSE(CONTROL!$C$9, $C$13, 100%, $E$13) + CHOOSE(CONTROL!$C$28, 0, 0)</f>
        <v>44.126300000000001</v>
      </c>
      <c r="E430" s="4">
        <f>212.108112069178 * CHOOSE(CONTROL!$C$9, $C$13, 100%, $E$13) + CHOOSE(CONTROL!$C$28, 0, 0)</f>
        <v>212.10811206917799</v>
      </c>
    </row>
    <row r="431" spans="1:5" ht="15">
      <c r="A431" s="13">
        <v>54635</v>
      </c>
      <c r="B431" s="4">
        <f>32.6715 * CHOOSE(CONTROL!$C$9, $C$13, 100%, $E$13) + CHOOSE(CONTROL!$C$28, 0.013, 0)</f>
        <v>32.6845</v>
      </c>
      <c r="C431" s="4">
        <f>32.3083 * CHOOSE(CONTROL!$C$9, $C$13, 100%, $E$13) + CHOOSE(CONTROL!$C$28, 0.013, 0)</f>
        <v>32.321300000000001</v>
      </c>
      <c r="D431" s="4">
        <f>44.8238 * CHOOSE(CONTROL!$C$9, $C$13, 100%, $E$13) + CHOOSE(CONTROL!$C$28, 0, 0)</f>
        <v>44.823799999999999</v>
      </c>
      <c r="E431" s="4">
        <f>212.040647656943 * CHOOSE(CONTROL!$C$9, $C$13, 100%, $E$13) + CHOOSE(CONTROL!$C$28, 0, 0)</f>
        <v>212.04064765694301</v>
      </c>
    </row>
    <row r="432" spans="1:5" ht="15">
      <c r="A432" s="13">
        <v>54666</v>
      </c>
      <c r="B432" s="4">
        <f>33.4352 * CHOOSE(CONTROL!$C$9, $C$13, 100%, $E$13) + CHOOSE(CONTROL!$C$28, 0.013, 0)</f>
        <v>33.4482</v>
      </c>
      <c r="C432" s="4">
        <f>33.072 * CHOOSE(CONTROL!$C$9, $C$13, 100%, $E$13) + CHOOSE(CONTROL!$C$28, 0.013, 0)</f>
        <v>33.085000000000001</v>
      </c>
      <c r="D432" s="4">
        <f>44.3632 * CHOOSE(CONTROL!$C$9, $C$13, 100%, $E$13) + CHOOSE(CONTROL!$C$28, 0, 0)</f>
        <v>44.363199999999999</v>
      </c>
      <c r="E432" s="4">
        <f>217.117344677682 * CHOOSE(CONTROL!$C$9, $C$13, 100%, $E$13) + CHOOSE(CONTROL!$C$28, 0, 0)</f>
        <v>217.11734467768201</v>
      </c>
    </row>
    <row r="433" spans="1:5" ht="15">
      <c r="A433" s="13">
        <v>54696</v>
      </c>
      <c r="B433" s="4">
        <f>32.1336 * CHOOSE(CONTROL!$C$9, $C$13, 100%, $E$13) + CHOOSE(CONTROL!$C$28, 0.013, 0)</f>
        <v>32.146599999999999</v>
      </c>
      <c r="C433" s="4">
        <f>31.7704 * CHOOSE(CONTROL!$C$9, $C$13, 100%, $E$13) + CHOOSE(CONTROL!$C$28, 0.013, 0)</f>
        <v>31.7834</v>
      </c>
      <c r="D433" s="4">
        <f>44.1455 * CHOOSE(CONTROL!$C$9, $C$13, 100%, $E$13) + CHOOSE(CONTROL!$C$28, 0, 0)</f>
        <v>44.145499999999998</v>
      </c>
      <c r="E433" s="4">
        <f>208.465033808448 * CHOOSE(CONTROL!$C$9, $C$13, 100%, $E$13) + CHOOSE(CONTROL!$C$28, 0, 0)</f>
        <v>208.465033808448</v>
      </c>
    </row>
    <row r="434" spans="1:5" ht="15">
      <c r="A434" s="13">
        <v>54727</v>
      </c>
      <c r="B434" s="4">
        <f>31.0917 * CHOOSE(CONTROL!$C$9, $C$13, 100%, $E$13) + CHOOSE(CONTROL!$C$28, 0.0003, 0)</f>
        <v>31.091999999999999</v>
      </c>
      <c r="C434" s="4">
        <f>30.7284 * CHOOSE(CONTROL!$C$9, $C$13, 100%, $E$13) + CHOOSE(CONTROL!$C$28, 0.0003, 0)</f>
        <v>30.7287</v>
      </c>
      <c r="D434" s="4">
        <f>43.5628 * CHOOSE(CONTROL!$C$9, $C$13, 100%, $E$13) + CHOOSE(CONTROL!$C$28, 0, 0)</f>
        <v>43.562800000000003</v>
      </c>
      <c r="E434" s="4">
        <f>201.538687485578 * CHOOSE(CONTROL!$C$9, $C$13, 100%, $E$13) + CHOOSE(CONTROL!$C$28, 0, 0)</f>
        <v>201.53868748557801</v>
      </c>
    </row>
    <row r="435" spans="1:5" ht="15">
      <c r="A435" s="13">
        <v>54757</v>
      </c>
      <c r="B435" s="4">
        <f>30.4206 * CHOOSE(CONTROL!$C$9, $C$13, 100%, $E$13) + CHOOSE(CONTROL!$C$28, 0.0003, 0)</f>
        <v>30.4209</v>
      </c>
      <c r="C435" s="4">
        <f>30.0573 * CHOOSE(CONTROL!$C$9, $C$13, 100%, $E$13) + CHOOSE(CONTROL!$C$28, 0.0003, 0)</f>
        <v>30.057600000000001</v>
      </c>
      <c r="D435" s="4">
        <f>43.3624 * CHOOSE(CONTROL!$C$9, $C$13, 100%, $E$13) + CHOOSE(CONTROL!$C$28, 0, 0)</f>
        <v>43.362400000000001</v>
      </c>
      <c r="E435" s="4">
        <f>197.07760322649 * CHOOSE(CONTROL!$C$9, $C$13, 100%, $E$13) + CHOOSE(CONTROL!$C$28, 0, 0)</f>
        <v>197.07760322649</v>
      </c>
    </row>
    <row r="436" spans="1:5" ht="15">
      <c r="A436" s="13">
        <v>54788</v>
      </c>
      <c r="B436" s="4">
        <f>29.9563 * CHOOSE(CONTROL!$C$9, $C$13, 100%, $E$13) + CHOOSE(CONTROL!$C$28, 0.0003, 0)</f>
        <v>29.956599999999998</v>
      </c>
      <c r="C436" s="4">
        <f>29.593 * CHOOSE(CONTROL!$C$9, $C$13, 100%, $E$13) + CHOOSE(CONTROL!$C$28, 0.0003, 0)</f>
        <v>29.593299999999999</v>
      </c>
      <c r="D436" s="4">
        <f>41.8874 * CHOOSE(CONTROL!$C$9, $C$13, 100%, $E$13) + CHOOSE(CONTROL!$C$28, 0, 0)</f>
        <v>41.8874</v>
      </c>
      <c r="E436" s="4">
        <f>193.991106366705 * CHOOSE(CONTROL!$C$9, $C$13, 100%, $E$13) + CHOOSE(CONTROL!$C$28, 0, 0)</f>
        <v>193.991106366705</v>
      </c>
    </row>
    <row r="437" spans="1:5" ht="15">
      <c r="A437" s="13">
        <v>54819</v>
      </c>
      <c r="B437" s="4">
        <f>28.6859 * CHOOSE(CONTROL!$C$9, $C$13, 100%, $E$13) + CHOOSE(CONTROL!$C$28, 0.0003, 0)</f>
        <v>28.686199999999999</v>
      </c>
      <c r="C437" s="4">
        <f>28.3226 * CHOOSE(CONTROL!$C$9, $C$13, 100%, $E$13) + CHOOSE(CONTROL!$C$28, 0.0003, 0)</f>
        <v>28.322900000000001</v>
      </c>
      <c r="D437" s="4">
        <f>40.2625 * CHOOSE(CONTROL!$C$9, $C$13, 100%, $E$13) + CHOOSE(CONTROL!$C$28, 0, 0)</f>
        <v>40.262500000000003</v>
      </c>
      <c r="E437" s="4">
        <f>185.910588521106 * CHOOSE(CONTROL!$C$9, $C$13, 100%, $E$13) + CHOOSE(CONTROL!$C$28, 0, 0)</f>
        <v>185.91058852110601</v>
      </c>
    </row>
    <row r="438" spans="1:5" ht="15">
      <c r="A438" s="13">
        <v>54847</v>
      </c>
      <c r="B438" s="4">
        <f>29.3487 * CHOOSE(CONTROL!$C$9, $C$13, 100%, $E$13) + CHOOSE(CONTROL!$C$28, 0.0003, 0)</f>
        <v>29.349</v>
      </c>
      <c r="C438" s="4">
        <f>28.9854 * CHOOSE(CONTROL!$C$9, $C$13, 100%, $E$13) + CHOOSE(CONTROL!$C$28, 0.0003, 0)</f>
        <v>28.985699999999998</v>
      </c>
      <c r="D438" s="4">
        <f>41.6182 * CHOOSE(CONTROL!$C$9, $C$13, 100%, $E$13) + CHOOSE(CONTROL!$C$28, 0, 0)</f>
        <v>41.618200000000002</v>
      </c>
      <c r="E438" s="4">
        <f>190.324838549391 * CHOOSE(CONTROL!$C$9, $C$13, 100%, $E$13) + CHOOSE(CONTROL!$C$28, 0, 0)</f>
        <v>190.32483854939099</v>
      </c>
    </row>
    <row r="439" spans="1:5" ht="15">
      <c r="A439" s="13">
        <v>54878</v>
      </c>
      <c r="B439" s="4">
        <f>31.0891 * CHOOSE(CONTROL!$C$9, $C$13, 100%, $E$13) + CHOOSE(CONTROL!$C$28, 0.0003, 0)</f>
        <v>31.089399999999998</v>
      </c>
      <c r="C439" s="4">
        <f>30.7258 * CHOOSE(CONTROL!$C$9, $C$13, 100%, $E$13) + CHOOSE(CONTROL!$C$28, 0.0003, 0)</f>
        <v>30.726099999999999</v>
      </c>
      <c r="D439" s="4">
        <f>43.7404 * CHOOSE(CONTROL!$C$9, $C$13, 100%, $E$13) + CHOOSE(CONTROL!$C$28, 0, 0)</f>
        <v>43.740400000000001</v>
      </c>
      <c r="E439" s="4">
        <f>201.916893711159 * CHOOSE(CONTROL!$C$9, $C$13, 100%, $E$13) + CHOOSE(CONTROL!$C$28, 0, 0)</f>
        <v>201.91689371115899</v>
      </c>
    </row>
    <row r="440" spans="1:5" ht="15">
      <c r="A440" s="13">
        <v>54908</v>
      </c>
      <c r="B440" s="4">
        <f>32.3257 * CHOOSE(CONTROL!$C$9, $C$13, 100%, $E$13) + CHOOSE(CONTROL!$C$28, 0.0003, 0)</f>
        <v>32.326000000000001</v>
      </c>
      <c r="C440" s="4">
        <f>31.9624 * CHOOSE(CONTROL!$C$9, $C$13, 100%, $E$13) + CHOOSE(CONTROL!$C$28, 0.0003, 0)</f>
        <v>31.962699999999998</v>
      </c>
      <c r="D440" s="4">
        <f>44.9629 * CHOOSE(CONTROL!$C$9, $C$13, 100%, $E$13) + CHOOSE(CONTROL!$C$28, 0, 0)</f>
        <v>44.962899999999998</v>
      </c>
      <c r="E440" s="4">
        <f>210.153203388043 * CHOOSE(CONTROL!$C$9, $C$13, 100%, $E$13) + CHOOSE(CONTROL!$C$28, 0, 0)</f>
        <v>210.15320338804301</v>
      </c>
    </row>
    <row r="441" spans="1:5" ht="15">
      <c r="A441" s="13">
        <v>54939</v>
      </c>
      <c r="B441" s="4">
        <f>33.0812 * CHOOSE(CONTROL!$C$9, $C$13, 100%, $E$13) + CHOOSE(CONTROL!$C$28, 0.013, 0)</f>
        <v>33.094200000000001</v>
      </c>
      <c r="C441" s="4">
        <f>32.7179 * CHOOSE(CONTROL!$C$9, $C$13, 100%, $E$13) + CHOOSE(CONTROL!$C$28, 0.013, 0)</f>
        <v>32.730899999999998</v>
      </c>
      <c r="D441" s="4">
        <f>44.4798 * CHOOSE(CONTROL!$C$9, $C$13, 100%, $E$13) + CHOOSE(CONTROL!$C$28, 0, 0)</f>
        <v>44.479799999999997</v>
      </c>
      <c r="E441" s="4">
        <f>215.185391203825 * CHOOSE(CONTROL!$C$9, $C$13, 100%, $E$13) + CHOOSE(CONTROL!$C$28, 0, 0)</f>
        <v>215.18539120382499</v>
      </c>
    </row>
    <row r="442" spans="1:5" ht="15">
      <c r="A442" s="13">
        <v>54969</v>
      </c>
      <c r="B442" s="4">
        <f>33.1834 * CHOOSE(CONTROL!$C$9, $C$13, 100%, $E$13) + CHOOSE(CONTROL!$C$28, 0.013, 0)</f>
        <v>33.196399999999997</v>
      </c>
      <c r="C442" s="4">
        <f>32.8202 * CHOOSE(CONTROL!$C$9, $C$13, 100%, $E$13) + CHOOSE(CONTROL!$C$28, 0.013, 0)</f>
        <v>32.833199999999998</v>
      </c>
      <c r="D442" s="4">
        <f>44.8732 * CHOOSE(CONTROL!$C$9, $C$13, 100%, $E$13) + CHOOSE(CONTROL!$C$28, 0, 0)</f>
        <v>44.873199999999997</v>
      </c>
      <c r="E442" s="4">
        <f>215.866267099309 * CHOOSE(CONTROL!$C$9, $C$13, 100%, $E$13) + CHOOSE(CONTROL!$C$28, 0, 0)</f>
        <v>215.866267099309</v>
      </c>
    </row>
    <row r="443" spans="1:5" ht="15">
      <c r="A443" s="13">
        <v>55000</v>
      </c>
      <c r="B443" s="4">
        <f>33.1731 * CHOOSE(CONTROL!$C$9, $C$13, 100%, $E$13) + CHOOSE(CONTROL!$C$28, 0.013, 0)</f>
        <v>33.186099999999996</v>
      </c>
      <c r="C443" s="4">
        <f>32.8099 * CHOOSE(CONTROL!$C$9, $C$13, 100%, $E$13) + CHOOSE(CONTROL!$C$28, 0.013, 0)</f>
        <v>32.822899999999997</v>
      </c>
      <c r="D443" s="4">
        <f>45.5831 * CHOOSE(CONTROL!$C$9, $C$13, 100%, $E$13) + CHOOSE(CONTROL!$C$28, 0, 0)</f>
        <v>45.583100000000002</v>
      </c>
      <c r="E443" s="4">
        <f>215.797607345143 * CHOOSE(CONTROL!$C$9, $C$13, 100%, $E$13) + CHOOSE(CONTROL!$C$28, 0, 0)</f>
        <v>215.79760734514301</v>
      </c>
    </row>
    <row r="444" spans="1:5" ht="15">
      <c r="A444" s="13">
        <v>55031</v>
      </c>
      <c r="B444" s="4">
        <f>33.9488 * CHOOSE(CONTROL!$C$9, $C$13, 100%, $E$13) + CHOOSE(CONTROL!$C$28, 0.013, 0)</f>
        <v>33.961799999999997</v>
      </c>
      <c r="C444" s="4">
        <f>33.5856 * CHOOSE(CONTROL!$C$9, $C$13, 100%, $E$13) + CHOOSE(CONTROL!$C$28, 0.013, 0)</f>
        <v>33.598599999999998</v>
      </c>
      <c r="D444" s="4">
        <f>45.1143 * CHOOSE(CONTROL!$C$9, $C$13, 100%, $E$13) + CHOOSE(CONTROL!$C$28, 0, 0)</f>
        <v>45.1143</v>
      </c>
      <c r="E444" s="4">
        <f>220.964253846168 * CHOOSE(CONTROL!$C$9, $C$13, 100%, $E$13) + CHOOSE(CONTROL!$C$28, 0, 0)</f>
        <v>220.96425384616799</v>
      </c>
    </row>
    <row r="445" spans="1:5" ht="15">
      <c r="A445" s="13">
        <v>55061</v>
      </c>
      <c r="B445" s="4">
        <f>32.6268 * CHOOSE(CONTROL!$C$9, $C$13, 100%, $E$13) + CHOOSE(CONTROL!$C$28, 0.013, 0)</f>
        <v>32.639800000000001</v>
      </c>
      <c r="C445" s="4">
        <f>32.2635 * CHOOSE(CONTROL!$C$9, $C$13, 100%, $E$13) + CHOOSE(CONTROL!$C$28, 0.013, 0)</f>
        <v>32.276499999999999</v>
      </c>
      <c r="D445" s="4">
        <f>44.8928 * CHOOSE(CONTROL!$C$9, $C$13, 100%, $E$13) + CHOOSE(CONTROL!$C$28, 0, 0)</f>
        <v>44.892800000000001</v>
      </c>
      <c r="E445" s="4">
        <f>212.158640374321 * CHOOSE(CONTROL!$C$9, $C$13, 100%, $E$13) + CHOOSE(CONTROL!$C$28, 0, 0)</f>
        <v>212.15864037432101</v>
      </c>
    </row>
    <row r="446" spans="1:5" ht="15">
      <c r="A446" s="13">
        <v>55092</v>
      </c>
      <c r="B446" s="4">
        <f>31.5684 * CHOOSE(CONTROL!$C$9, $C$13, 100%, $E$13) + CHOOSE(CONTROL!$C$28, 0.0003, 0)</f>
        <v>31.5687</v>
      </c>
      <c r="C446" s="4">
        <f>31.2052 * CHOOSE(CONTROL!$C$9, $C$13, 100%, $E$13) + CHOOSE(CONTROL!$C$28, 0.0003, 0)</f>
        <v>31.205500000000001</v>
      </c>
      <c r="D446" s="4">
        <f>44.2997 * CHOOSE(CONTROL!$C$9, $C$13, 100%, $E$13) + CHOOSE(CONTROL!$C$28, 0, 0)</f>
        <v>44.299700000000001</v>
      </c>
      <c r="E446" s="4">
        <f>205.109572279899 * CHOOSE(CONTROL!$C$9, $C$13, 100%, $E$13) + CHOOSE(CONTROL!$C$28, 0, 0)</f>
        <v>205.109572279899</v>
      </c>
    </row>
    <row r="447" spans="1:5" ht="15">
      <c r="A447" s="13">
        <v>55122</v>
      </c>
      <c r="B447" s="4">
        <f>30.8868 * CHOOSE(CONTROL!$C$9, $C$13, 100%, $E$13) + CHOOSE(CONTROL!$C$28, 0.0003, 0)</f>
        <v>30.8871</v>
      </c>
      <c r="C447" s="4">
        <f>30.5235 * CHOOSE(CONTROL!$C$9, $C$13, 100%, $E$13) + CHOOSE(CONTROL!$C$28, 0.0003, 0)</f>
        <v>30.523799999999998</v>
      </c>
      <c r="D447" s="4">
        <f>44.0958 * CHOOSE(CONTROL!$C$9, $C$13, 100%, $E$13) + CHOOSE(CONTROL!$C$28, 0, 0)</f>
        <v>44.095799999999997</v>
      </c>
      <c r="E447" s="4">
        <f>200.569446035643 * CHOOSE(CONTROL!$C$9, $C$13, 100%, $E$13) + CHOOSE(CONTROL!$C$28, 0, 0)</f>
        <v>200.56944603564301</v>
      </c>
    </row>
    <row r="448" spans="1:5" ht="15">
      <c r="A448" s="13">
        <v>55153</v>
      </c>
      <c r="B448" s="4">
        <f>30.4152 * CHOOSE(CONTROL!$C$9, $C$13, 100%, $E$13) + CHOOSE(CONTROL!$C$28, 0.0003, 0)</f>
        <v>30.415499999999998</v>
      </c>
      <c r="C448" s="4">
        <f>30.0519 * CHOOSE(CONTROL!$C$9, $C$13, 100%, $E$13) + CHOOSE(CONTROL!$C$28, 0.0003, 0)</f>
        <v>30.052199999999999</v>
      </c>
      <c r="D448" s="4">
        <f>42.5948 * CHOOSE(CONTROL!$C$9, $C$13, 100%, $E$13) + CHOOSE(CONTROL!$C$28, 0, 0)</f>
        <v>42.594799999999999</v>
      </c>
      <c r="E448" s="4">
        <f>197.428262282528 * CHOOSE(CONTROL!$C$9, $C$13, 100%, $E$13) + CHOOSE(CONTROL!$C$28, 0, 0)</f>
        <v>197.42826228252801</v>
      </c>
    </row>
    <row r="449" spans="1:5" ht="15">
      <c r="A449" s="13">
        <v>55184</v>
      </c>
      <c r="B449" s="4">
        <f>29.1248 * CHOOSE(CONTROL!$C$9, $C$13, 100%, $E$13) + CHOOSE(CONTROL!$C$28, 0.0003, 0)</f>
        <v>29.1251</v>
      </c>
      <c r="C449" s="4">
        <f>28.7616 * CHOOSE(CONTROL!$C$9, $C$13, 100%, $E$13) + CHOOSE(CONTROL!$C$28, 0.0003, 0)</f>
        <v>28.761900000000001</v>
      </c>
      <c r="D449" s="4">
        <f>40.9412 * CHOOSE(CONTROL!$C$9, $C$13, 100%, $E$13) + CHOOSE(CONTROL!$C$28, 0, 0)</f>
        <v>40.941200000000002</v>
      </c>
      <c r="E449" s="4">
        <f>189.204572926462 * CHOOSE(CONTROL!$C$9, $C$13, 100%, $E$13) + CHOOSE(CONTROL!$C$28, 0, 0)</f>
        <v>189.20457292646199</v>
      </c>
    </row>
    <row r="450" spans="1:5" ht="15">
      <c r="A450" s="13">
        <v>55212</v>
      </c>
      <c r="B450" s="4">
        <f>29.798 * CHOOSE(CONTROL!$C$9, $C$13, 100%, $E$13) + CHOOSE(CONTROL!$C$28, 0.0003, 0)</f>
        <v>29.798299999999998</v>
      </c>
      <c r="C450" s="4">
        <f>29.4347 * CHOOSE(CONTROL!$C$9, $C$13, 100%, $E$13) + CHOOSE(CONTROL!$C$28, 0.0003, 0)</f>
        <v>29.434999999999999</v>
      </c>
      <c r="D450" s="4">
        <f>42.3208 * CHOOSE(CONTROL!$C$9, $C$13, 100%, $E$13) + CHOOSE(CONTROL!$C$28, 0, 0)</f>
        <v>42.320799999999998</v>
      </c>
      <c r="E450" s="4">
        <f>193.697035125824 * CHOOSE(CONTROL!$C$9, $C$13, 100%, $E$13) + CHOOSE(CONTROL!$C$28, 0, 0)</f>
        <v>193.69703512582399</v>
      </c>
    </row>
    <row r="451" spans="1:5" ht="15">
      <c r="A451" s="13">
        <v>55243</v>
      </c>
      <c r="B451" s="4">
        <f>31.5658 * CHOOSE(CONTROL!$C$9, $C$13, 100%, $E$13) + CHOOSE(CONTROL!$C$28, 0.0003, 0)</f>
        <v>31.566099999999999</v>
      </c>
      <c r="C451" s="4">
        <f>31.2025 * CHOOSE(CONTROL!$C$9, $C$13, 100%, $E$13) + CHOOSE(CONTROL!$C$28, 0.0003, 0)</f>
        <v>31.2028</v>
      </c>
      <c r="D451" s="4">
        <f>44.4805 * CHOOSE(CONTROL!$C$9, $C$13, 100%, $E$13) + CHOOSE(CONTROL!$C$28, 0, 0)</f>
        <v>44.480499999999999</v>
      </c>
      <c r="E451" s="4">
        <f>205.494479605288 * CHOOSE(CONTROL!$C$9, $C$13, 100%, $E$13) + CHOOSE(CONTROL!$C$28, 0, 0)</f>
        <v>205.49447960528801</v>
      </c>
    </row>
    <row r="452" spans="1:5" ht="15">
      <c r="A452" s="13">
        <v>55273</v>
      </c>
      <c r="B452" s="4">
        <f>32.8218 * CHOOSE(CONTROL!$C$9, $C$13, 100%, $E$13) + CHOOSE(CONTROL!$C$28, 0.0003, 0)</f>
        <v>32.822100000000006</v>
      </c>
      <c r="C452" s="4">
        <f>32.4586 * CHOOSE(CONTROL!$C$9, $C$13, 100%, $E$13) + CHOOSE(CONTROL!$C$28, 0.0003, 0)</f>
        <v>32.4589</v>
      </c>
      <c r="D452" s="4">
        <f>45.7246 * CHOOSE(CONTROL!$C$9, $C$13, 100%, $E$13) + CHOOSE(CONTROL!$C$28, 0, 0)</f>
        <v>45.724600000000002</v>
      </c>
      <c r="E452" s="4">
        <f>213.876721129568 * CHOOSE(CONTROL!$C$9, $C$13, 100%, $E$13) + CHOOSE(CONTROL!$C$28, 0, 0)</f>
        <v>213.87672112956801</v>
      </c>
    </row>
    <row r="453" spans="1:5" ht="15">
      <c r="A453" s="13">
        <v>55304</v>
      </c>
      <c r="B453" s="4">
        <f>33.5893 * CHOOSE(CONTROL!$C$9, $C$13, 100%, $E$13) + CHOOSE(CONTROL!$C$28, 0.013, 0)</f>
        <v>33.6023</v>
      </c>
      <c r="C453" s="4">
        <f>33.226 * CHOOSE(CONTROL!$C$9, $C$13, 100%, $E$13) + CHOOSE(CONTROL!$C$28, 0.013, 0)</f>
        <v>33.238999999999997</v>
      </c>
      <c r="D453" s="4">
        <f>45.233 * CHOOSE(CONTROL!$C$9, $C$13, 100%, $E$13) + CHOOSE(CONTROL!$C$28, 0, 0)</f>
        <v>45.232999999999997</v>
      </c>
      <c r="E453" s="4">
        <f>218.998069806611 * CHOOSE(CONTROL!$C$9, $C$13, 100%, $E$13) + CHOOSE(CONTROL!$C$28, 0, 0)</f>
        <v>218.998069806611</v>
      </c>
    </row>
    <row r="454" spans="1:5" ht="15">
      <c r="A454" s="13">
        <v>55334</v>
      </c>
      <c r="B454" s="4">
        <f>33.6931 * CHOOSE(CONTROL!$C$9, $C$13, 100%, $E$13) + CHOOSE(CONTROL!$C$28, 0.013, 0)</f>
        <v>33.706099999999999</v>
      </c>
      <c r="C454" s="4">
        <f>33.3298 * CHOOSE(CONTROL!$C$9, $C$13, 100%, $E$13) + CHOOSE(CONTROL!$C$28, 0.013, 0)</f>
        <v>33.342799999999997</v>
      </c>
      <c r="D454" s="4">
        <f>45.6333 * CHOOSE(CONTROL!$C$9, $C$13, 100%, $E$13) + CHOOSE(CONTROL!$C$28, 0, 0)</f>
        <v>45.633299999999998</v>
      </c>
      <c r="E454" s="4">
        <f>219.691009536648 * CHOOSE(CONTROL!$C$9, $C$13, 100%, $E$13) + CHOOSE(CONTROL!$C$28, 0, 0)</f>
        <v>219.69100953664801</v>
      </c>
    </row>
    <row r="455" spans="1:5" ht="15">
      <c r="A455" s="13">
        <v>55365</v>
      </c>
      <c r="B455" s="4">
        <f>33.6826 * CHOOSE(CONTROL!$C$9, $C$13, 100%, $E$13) + CHOOSE(CONTROL!$C$28, 0.013, 0)</f>
        <v>33.695599999999999</v>
      </c>
      <c r="C455" s="4">
        <f>33.3193 * CHOOSE(CONTROL!$C$9, $C$13, 100%, $E$13) + CHOOSE(CONTROL!$C$28, 0.013, 0)</f>
        <v>33.332299999999996</v>
      </c>
      <c r="D455" s="4">
        <f>46.3557 * CHOOSE(CONTROL!$C$9, $C$13, 100%, $E$13) + CHOOSE(CONTROL!$C$28, 0, 0)</f>
        <v>46.355699999999999</v>
      </c>
      <c r="E455" s="4">
        <f>219.62113326135 * CHOOSE(CONTROL!$C$9, $C$13, 100%, $E$13) + CHOOSE(CONTROL!$C$28, 0, 0)</f>
        <v>219.62113326135</v>
      </c>
    </row>
    <row r="456" spans="1:5" ht="15">
      <c r="A456" s="13">
        <v>55396</v>
      </c>
      <c r="B456" s="4">
        <f>34.4705 * CHOOSE(CONTROL!$C$9, $C$13, 100%, $E$13) + CHOOSE(CONTROL!$C$28, 0.013, 0)</f>
        <v>34.483499999999999</v>
      </c>
      <c r="C456" s="4">
        <f>34.1072 * CHOOSE(CONTROL!$C$9, $C$13, 100%, $E$13) + CHOOSE(CONTROL!$C$28, 0.013, 0)</f>
        <v>34.120199999999997</v>
      </c>
      <c r="D456" s="4">
        <f>45.8786 * CHOOSE(CONTROL!$C$9, $C$13, 100%, $E$13) + CHOOSE(CONTROL!$C$28, 0, 0)</f>
        <v>45.878599999999999</v>
      </c>
      <c r="E456" s="4">
        <f>224.879322977519 * CHOOSE(CONTROL!$C$9, $C$13, 100%, $E$13) + CHOOSE(CONTROL!$C$28, 0, 0)</f>
        <v>224.879322977519</v>
      </c>
    </row>
    <row r="457" spans="1:5" ht="15">
      <c r="A457" s="13">
        <v>55426</v>
      </c>
      <c r="B457" s="4">
        <f>33.1277 * CHOOSE(CONTROL!$C$9, $C$13, 100%, $E$13) + CHOOSE(CONTROL!$C$28, 0.013, 0)</f>
        <v>33.140699999999995</v>
      </c>
      <c r="C457" s="4">
        <f>32.7644 * CHOOSE(CONTROL!$C$9, $C$13, 100%, $E$13) + CHOOSE(CONTROL!$C$28, 0.013, 0)</f>
        <v>32.7774</v>
      </c>
      <c r="D457" s="4">
        <f>45.6532 * CHOOSE(CONTROL!$C$9, $C$13, 100%, $E$13) + CHOOSE(CONTROL!$C$28, 0, 0)</f>
        <v>45.653199999999998</v>
      </c>
      <c r="E457" s="4">
        <f>215.917690670561 * CHOOSE(CONTROL!$C$9, $C$13, 100%, $E$13) + CHOOSE(CONTROL!$C$28, 0, 0)</f>
        <v>215.917690670561</v>
      </c>
    </row>
    <row r="458" spans="1:5" ht="15">
      <c r="A458" s="13">
        <v>55457</v>
      </c>
      <c r="B458" s="4">
        <f>32.0527 * CHOOSE(CONTROL!$C$9, $C$13, 100%, $E$13) + CHOOSE(CONTROL!$C$28, 0.0003, 0)</f>
        <v>32.053000000000004</v>
      </c>
      <c r="C458" s="4">
        <f>31.6894 * CHOOSE(CONTROL!$C$9, $C$13, 100%, $E$13) + CHOOSE(CONTROL!$C$28, 0.0003, 0)</f>
        <v>31.689699999999998</v>
      </c>
      <c r="D458" s="4">
        <f>45.0497 * CHOOSE(CONTROL!$C$9, $C$13, 100%, $E$13) + CHOOSE(CONTROL!$C$28, 0, 0)</f>
        <v>45.049700000000001</v>
      </c>
      <c r="E458" s="4">
        <f>208.743726406641 * CHOOSE(CONTROL!$C$9, $C$13, 100%, $E$13) + CHOOSE(CONTROL!$C$28, 0, 0)</f>
        <v>208.743726406641</v>
      </c>
    </row>
    <row r="459" spans="1:5" ht="15">
      <c r="A459" s="13">
        <v>55487</v>
      </c>
      <c r="B459" s="4">
        <f>31.3603 * CHOOSE(CONTROL!$C$9, $C$13, 100%, $E$13) + CHOOSE(CONTROL!$C$28, 0.0003, 0)</f>
        <v>31.360599999999998</v>
      </c>
      <c r="C459" s="4">
        <f>30.997 * CHOOSE(CONTROL!$C$9, $C$13, 100%, $E$13) + CHOOSE(CONTROL!$C$28, 0.0003, 0)</f>
        <v>30.997299999999999</v>
      </c>
      <c r="D459" s="4">
        <f>44.8422 * CHOOSE(CONTROL!$C$9, $C$13, 100%, $E$13) + CHOOSE(CONTROL!$C$28, 0, 0)</f>
        <v>44.842199999999998</v>
      </c>
      <c r="E459" s="4">
        <f>204.123157702567 * CHOOSE(CONTROL!$C$9, $C$13, 100%, $E$13) + CHOOSE(CONTROL!$C$28, 0, 0)</f>
        <v>204.123157702567</v>
      </c>
    </row>
    <row r="460" spans="1:5" ht="15">
      <c r="A460" s="13">
        <v>55518</v>
      </c>
      <c r="B460" s="4">
        <f>30.8813 * CHOOSE(CONTROL!$C$9, $C$13, 100%, $E$13) + CHOOSE(CONTROL!$C$28, 0.0003, 0)</f>
        <v>30.881599999999999</v>
      </c>
      <c r="C460" s="4">
        <f>30.518 * CHOOSE(CONTROL!$C$9, $C$13, 100%, $E$13) + CHOOSE(CONTROL!$C$28, 0.0003, 0)</f>
        <v>30.5183</v>
      </c>
      <c r="D460" s="4">
        <f>43.3146 * CHOOSE(CONTROL!$C$9, $C$13, 100%, $E$13) + CHOOSE(CONTROL!$C$28, 0, 0)</f>
        <v>43.314599999999999</v>
      </c>
      <c r="E460" s="4">
        <f>200.926318107687 * CHOOSE(CONTROL!$C$9, $C$13, 100%, $E$13) + CHOOSE(CONTROL!$C$28, 0, 0)</f>
        <v>200.926318107687</v>
      </c>
    </row>
    <row r="461" spans="1:5" ht="15">
      <c r="A461" s="13">
        <v>55549</v>
      </c>
      <c r="B461" s="4">
        <f>29.5707 * CHOOSE(CONTROL!$C$9, $C$13, 100%, $E$13) + CHOOSE(CONTROL!$C$28, 0.0003, 0)</f>
        <v>29.570999999999998</v>
      </c>
      <c r="C461" s="4">
        <f>29.2074 * CHOOSE(CONTROL!$C$9, $C$13, 100%, $E$13) + CHOOSE(CONTROL!$C$28, 0.0003, 0)</f>
        <v>29.207699999999999</v>
      </c>
      <c r="D461" s="4">
        <f>41.6318 * CHOOSE(CONTROL!$C$9, $C$13, 100%, $E$13) + CHOOSE(CONTROL!$C$28, 0, 0)</f>
        <v>41.631799999999998</v>
      </c>
      <c r="E461" s="4">
        <f>192.556920512467 * CHOOSE(CONTROL!$C$9, $C$13, 100%, $E$13) + CHOOSE(CONTROL!$C$28, 0, 0)</f>
        <v>192.556920512467</v>
      </c>
    </row>
    <row r="462" spans="1:5" ht="15">
      <c r="A462" s="13">
        <v>55577</v>
      </c>
      <c r="B462" s="4">
        <f>30.2544 * CHOOSE(CONTROL!$C$9, $C$13, 100%, $E$13) + CHOOSE(CONTROL!$C$28, 0.0003, 0)</f>
        <v>30.2547</v>
      </c>
      <c r="C462" s="4">
        <f>29.8911 * CHOOSE(CONTROL!$C$9, $C$13, 100%, $E$13) + CHOOSE(CONTROL!$C$28, 0.0003, 0)</f>
        <v>29.891400000000001</v>
      </c>
      <c r="D462" s="4">
        <f>43.0358 * CHOOSE(CONTROL!$C$9, $C$13, 100%, $E$13) + CHOOSE(CONTROL!$C$28, 0, 0)</f>
        <v>43.035800000000002</v>
      </c>
      <c r="E462" s="4">
        <f>197.128980654819 * CHOOSE(CONTROL!$C$9, $C$13, 100%, $E$13) + CHOOSE(CONTROL!$C$28, 0, 0)</f>
        <v>197.128980654819</v>
      </c>
    </row>
    <row r="463" spans="1:5" ht="15">
      <c r="A463" s="13">
        <v>55609</v>
      </c>
      <c r="B463" s="4">
        <f>32.05 * CHOOSE(CONTROL!$C$9, $C$13, 100%, $E$13) + CHOOSE(CONTROL!$C$28, 0.0003, 0)</f>
        <v>32.0503</v>
      </c>
      <c r="C463" s="4">
        <f>31.6867 * CHOOSE(CONTROL!$C$9, $C$13, 100%, $E$13) + CHOOSE(CONTROL!$C$28, 0.0003, 0)</f>
        <v>31.686999999999998</v>
      </c>
      <c r="D463" s="4">
        <f>45.2337 * CHOOSE(CONTROL!$C$9, $C$13, 100%, $E$13) + CHOOSE(CONTROL!$C$28, 0, 0)</f>
        <v>45.233699999999999</v>
      </c>
      <c r="E463" s="4">
        <f>209.135453562667 * CHOOSE(CONTROL!$C$9, $C$13, 100%, $E$13) + CHOOSE(CONTROL!$C$28, 0, 0)</f>
        <v>209.13545356266701</v>
      </c>
    </row>
    <row r="464" spans="1:5" ht="15">
      <c r="A464" s="13">
        <v>55639</v>
      </c>
      <c r="B464" s="4">
        <f>33.3258 * CHOOSE(CONTROL!$C$9, $C$13, 100%, $E$13) + CHOOSE(CONTROL!$C$28, 0.0003, 0)</f>
        <v>33.326100000000004</v>
      </c>
      <c r="C464" s="4">
        <f>32.9625 * CHOOSE(CONTROL!$C$9, $C$13, 100%, $E$13) + CHOOSE(CONTROL!$C$28, 0.0003, 0)</f>
        <v>32.962800000000001</v>
      </c>
      <c r="D464" s="4">
        <f>46.4997 * CHOOSE(CONTROL!$C$9, $C$13, 100%, $E$13) + CHOOSE(CONTROL!$C$28, 0, 0)</f>
        <v>46.499699999999997</v>
      </c>
      <c r="E464" s="4">
        <f>217.666212570983 * CHOOSE(CONTROL!$C$9, $C$13, 100%, $E$13) + CHOOSE(CONTROL!$C$28, 0, 0)</f>
        <v>217.66621257098299</v>
      </c>
    </row>
    <row r="465" spans="1:5" ht="15">
      <c r="A465" s="13">
        <v>55670</v>
      </c>
      <c r="B465" s="4">
        <f>34.1053 * CHOOSE(CONTROL!$C$9, $C$13, 100%, $E$13) + CHOOSE(CONTROL!$C$28, 0.013, 0)</f>
        <v>34.118299999999998</v>
      </c>
      <c r="C465" s="4">
        <f>33.742 * CHOOSE(CONTROL!$C$9, $C$13, 100%, $E$13) + CHOOSE(CONTROL!$C$28, 0.013, 0)</f>
        <v>33.754999999999995</v>
      </c>
      <c r="D465" s="4">
        <f>45.9994 * CHOOSE(CONTROL!$C$9, $C$13, 100%, $E$13) + CHOOSE(CONTROL!$C$28, 0, 0)</f>
        <v>45.999400000000001</v>
      </c>
      <c r="E465" s="4">
        <f>222.878301871305 * CHOOSE(CONTROL!$C$9, $C$13, 100%, $E$13) + CHOOSE(CONTROL!$C$28, 0, 0)</f>
        <v>222.87830187130501</v>
      </c>
    </row>
    <row r="466" spans="1:5" ht="15">
      <c r="A466" s="13">
        <v>55700</v>
      </c>
      <c r="B466" s="4">
        <f>34.2107 * CHOOSE(CONTROL!$C$9, $C$13, 100%, $E$13) + CHOOSE(CONTROL!$C$28, 0.013, 0)</f>
        <v>34.223700000000001</v>
      </c>
      <c r="C466" s="4">
        <f>33.8475 * CHOOSE(CONTROL!$C$9, $C$13, 100%, $E$13) + CHOOSE(CONTROL!$C$28, 0.013, 0)</f>
        <v>33.860499999999995</v>
      </c>
      <c r="D466" s="4">
        <f>46.4069 * CHOOSE(CONTROL!$C$9, $C$13, 100%, $E$13) + CHOOSE(CONTROL!$C$28, 0, 0)</f>
        <v>46.4069</v>
      </c>
      <c r="E466" s="4">
        <f>223.583519184254 * CHOOSE(CONTROL!$C$9, $C$13, 100%, $E$13) + CHOOSE(CONTROL!$C$28, 0, 0)</f>
        <v>223.58351918425399</v>
      </c>
    </row>
    <row r="467" spans="1:5" ht="15">
      <c r="A467" s="13">
        <v>55731</v>
      </c>
      <c r="B467" s="4">
        <f>34.2001 * CHOOSE(CONTROL!$C$9, $C$13, 100%, $E$13) + CHOOSE(CONTROL!$C$28, 0.013, 0)</f>
        <v>34.213099999999997</v>
      </c>
      <c r="C467" s="4">
        <f>33.8368 * CHOOSE(CONTROL!$C$9, $C$13, 100%, $E$13) + CHOOSE(CONTROL!$C$28, 0.013, 0)</f>
        <v>33.849799999999995</v>
      </c>
      <c r="D467" s="4">
        <f>47.142 * CHOOSE(CONTROL!$C$9, $C$13, 100%, $E$13) + CHOOSE(CONTROL!$C$28, 0, 0)</f>
        <v>47.142000000000003</v>
      </c>
      <c r="E467" s="4">
        <f>223.512404833368 * CHOOSE(CONTROL!$C$9, $C$13, 100%, $E$13) + CHOOSE(CONTROL!$C$28, 0, 0)</f>
        <v>223.51240483336801</v>
      </c>
    </row>
    <row r="468" spans="1:5" ht="15">
      <c r="A468" s="13">
        <v>55762</v>
      </c>
      <c r="B468" s="4">
        <f>35.0004 * CHOOSE(CONTROL!$C$9, $C$13, 100%, $E$13) + CHOOSE(CONTROL!$C$28, 0.013, 0)</f>
        <v>35.013399999999997</v>
      </c>
      <c r="C468" s="4">
        <f>34.6371 * CHOOSE(CONTROL!$C$9, $C$13, 100%, $E$13) + CHOOSE(CONTROL!$C$28, 0.013, 0)</f>
        <v>34.650099999999995</v>
      </c>
      <c r="D468" s="4">
        <f>46.6565 * CHOOSE(CONTROL!$C$9, $C$13, 100%, $E$13) + CHOOSE(CONTROL!$C$28, 0, 0)</f>
        <v>46.656500000000001</v>
      </c>
      <c r="E468" s="4">
        <f>228.863759737508 * CHOOSE(CONTROL!$C$9, $C$13, 100%, $E$13) + CHOOSE(CONTROL!$C$28, 0, 0)</f>
        <v>228.86375973750799</v>
      </c>
    </row>
    <row r="469" spans="1:5" ht="15">
      <c r="A469" s="13">
        <v>55792</v>
      </c>
      <c r="B469" s="4">
        <f>33.6364 * CHOOSE(CONTROL!$C$9, $C$13, 100%, $E$13) + CHOOSE(CONTROL!$C$28, 0.013, 0)</f>
        <v>33.6494</v>
      </c>
      <c r="C469" s="4">
        <f>33.2732 * CHOOSE(CONTROL!$C$9, $C$13, 100%, $E$13) + CHOOSE(CONTROL!$C$28, 0.013, 0)</f>
        <v>33.286200000000001</v>
      </c>
      <c r="D469" s="4">
        <f>46.4271 * CHOOSE(CONTROL!$C$9, $C$13, 100%, $E$13) + CHOOSE(CONTROL!$C$28, 0, 0)</f>
        <v>46.427100000000003</v>
      </c>
      <c r="E469" s="4">
        <f>219.743344236433 * CHOOSE(CONTROL!$C$9, $C$13, 100%, $E$13) + CHOOSE(CONTROL!$C$28, 0, 0)</f>
        <v>219.74334423643299</v>
      </c>
    </row>
    <row r="470" spans="1:5" ht="15">
      <c r="A470" s="13">
        <v>55823</v>
      </c>
      <c r="B470" s="4">
        <f>32.5446 * CHOOSE(CONTROL!$C$9, $C$13, 100%, $E$13) + CHOOSE(CONTROL!$C$28, 0.0003, 0)</f>
        <v>32.544900000000005</v>
      </c>
      <c r="C470" s="4">
        <f>32.1813 * CHOOSE(CONTROL!$C$9, $C$13, 100%, $E$13) + CHOOSE(CONTROL!$C$28, 0.0003, 0)</f>
        <v>32.181600000000003</v>
      </c>
      <c r="D470" s="4">
        <f>45.8129 * CHOOSE(CONTROL!$C$9, $C$13, 100%, $E$13) + CHOOSE(CONTROL!$C$28, 0, 0)</f>
        <v>45.812899999999999</v>
      </c>
      <c r="E470" s="4">
        <f>212.442270878847 * CHOOSE(CONTROL!$C$9, $C$13, 100%, $E$13) + CHOOSE(CONTROL!$C$28, 0, 0)</f>
        <v>212.44227087884701</v>
      </c>
    </row>
    <row r="471" spans="1:5" ht="15">
      <c r="A471" s="13">
        <v>55853</v>
      </c>
      <c r="B471" s="4">
        <f>31.8413 * CHOOSE(CONTROL!$C$9, $C$13, 100%, $E$13) + CHOOSE(CONTROL!$C$28, 0.0003, 0)</f>
        <v>31.8416</v>
      </c>
      <c r="C471" s="4">
        <f>31.478 * CHOOSE(CONTROL!$C$9, $C$13, 100%, $E$13) + CHOOSE(CONTROL!$C$28, 0.0003, 0)</f>
        <v>31.478300000000001</v>
      </c>
      <c r="D471" s="4">
        <f>45.6018 * CHOOSE(CONTROL!$C$9, $C$13, 100%, $E$13) + CHOOSE(CONTROL!$C$28, 0, 0)</f>
        <v>45.601799999999997</v>
      </c>
      <c r="E471" s="4">
        <f>207.739834426538 * CHOOSE(CONTROL!$C$9, $C$13, 100%, $E$13) + CHOOSE(CONTROL!$C$28, 0, 0)</f>
        <v>207.73983442653801</v>
      </c>
    </row>
    <row r="472" spans="1:5" ht="15">
      <c r="A472" s="13">
        <v>55884</v>
      </c>
      <c r="B472" s="4">
        <f>31.3547 * CHOOSE(CONTROL!$C$9, $C$13, 100%, $E$13) + CHOOSE(CONTROL!$C$28, 0.0003, 0)</f>
        <v>31.355</v>
      </c>
      <c r="C472" s="4">
        <f>30.9914 * CHOOSE(CONTROL!$C$9, $C$13, 100%, $E$13) + CHOOSE(CONTROL!$C$28, 0.0003, 0)</f>
        <v>30.991699999999998</v>
      </c>
      <c r="D472" s="4">
        <f>44.0472 * CHOOSE(CONTROL!$C$9, $C$13, 100%, $E$13) + CHOOSE(CONTROL!$C$28, 0, 0)</f>
        <v>44.047199999999997</v>
      </c>
      <c r="E472" s="4">
        <f>204.486352873523 * CHOOSE(CONTROL!$C$9, $C$13, 100%, $E$13) + CHOOSE(CONTROL!$C$28, 0, 0)</f>
        <v>204.486352873523</v>
      </c>
    </row>
    <row r="473" spans="1:5" ht="15">
      <c r="A473" s="13">
        <v>55915</v>
      </c>
      <c r="B473" s="4">
        <f>30.0235 * CHOOSE(CONTROL!$C$9, $C$13, 100%, $E$13) + CHOOSE(CONTROL!$C$28, 0.0003, 0)</f>
        <v>30.023799999999998</v>
      </c>
      <c r="C473" s="4">
        <f>29.6602 * CHOOSE(CONTROL!$C$9, $C$13, 100%, $E$13) + CHOOSE(CONTROL!$C$28, 0.0003, 0)</f>
        <v>29.660499999999999</v>
      </c>
      <c r="D473" s="4">
        <f>42.3347 * CHOOSE(CONTROL!$C$9, $C$13, 100%, $E$13) + CHOOSE(CONTROL!$C$28, 0, 0)</f>
        <v>42.334699999999998</v>
      </c>
      <c r="E473" s="4">
        <f>195.968665364425 * CHOOSE(CONTROL!$C$9, $C$13, 100%, $E$13) + CHOOSE(CONTROL!$C$28, 0, 0)</f>
        <v>195.96866536442499</v>
      </c>
    </row>
    <row r="474" spans="1:5" ht="15">
      <c r="A474" s="13">
        <v>55943</v>
      </c>
      <c r="B474" s="4">
        <f>30.718 * CHOOSE(CONTROL!$C$9, $C$13, 100%, $E$13) + CHOOSE(CONTROL!$C$28, 0.0003, 0)</f>
        <v>30.718299999999999</v>
      </c>
      <c r="C474" s="4">
        <f>30.3547 * CHOOSE(CONTROL!$C$9, $C$13, 100%, $E$13) + CHOOSE(CONTROL!$C$28, 0.0003, 0)</f>
        <v>30.355</v>
      </c>
      <c r="D474" s="4">
        <f>43.7635 * CHOOSE(CONTROL!$C$9, $C$13, 100%, $E$13) + CHOOSE(CONTROL!$C$28, 0, 0)</f>
        <v>43.763500000000001</v>
      </c>
      <c r="E474" s="4">
        <f>200.62173377494 * CHOOSE(CONTROL!$C$9, $C$13, 100%, $E$13) + CHOOSE(CONTROL!$C$28, 0, 0)</f>
        <v>200.62173377494</v>
      </c>
    </row>
    <row r="475" spans="1:5" ht="15">
      <c r="A475" s="13">
        <v>55974</v>
      </c>
      <c r="B475" s="4">
        <f>32.5418 * CHOOSE(CONTROL!$C$9, $C$13, 100%, $E$13) + CHOOSE(CONTROL!$C$28, 0.0003, 0)</f>
        <v>32.542100000000005</v>
      </c>
      <c r="C475" s="4">
        <f>32.1786 * CHOOSE(CONTROL!$C$9, $C$13, 100%, $E$13) + CHOOSE(CONTROL!$C$28, 0.0003, 0)</f>
        <v>32.178900000000006</v>
      </c>
      <c r="D475" s="4">
        <f>46.0002 * CHOOSE(CONTROL!$C$9, $C$13, 100%, $E$13) + CHOOSE(CONTROL!$C$28, 0, 0)</f>
        <v>46.0002</v>
      </c>
      <c r="E475" s="4">
        <f>212.840938700025 * CHOOSE(CONTROL!$C$9, $C$13, 100%, $E$13) + CHOOSE(CONTROL!$C$28, 0, 0)</f>
        <v>212.84093870002499</v>
      </c>
    </row>
    <row r="476" spans="1:5" ht="15">
      <c r="A476" s="13">
        <v>56004</v>
      </c>
      <c r="B476" s="4">
        <f>33.8377 * CHOOSE(CONTROL!$C$9, $C$13, 100%, $E$13) + CHOOSE(CONTROL!$C$28, 0.0003, 0)</f>
        <v>33.838000000000001</v>
      </c>
      <c r="C476" s="4">
        <f>33.4744 * CHOOSE(CONTROL!$C$9, $C$13, 100%, $E$13) + CHOOSE(CONTROL!$C$28, 0.0003, 0)</f>
        <v>33.474700000000006</v>
      </c>
      <c r="D476" s="4">
        <f>47.2886 * CHOOSE(CONTROL!$C$9, $C$13, 100%, $E$13) + CHOOSE(CONTROL!$C$28, 0, 0)</f>
        <v>47.288600000000002</v>
      </c>
      <c r="E476" s="4">
        <f>221.522846641614 * CHOOSE(CONTROL!$C$9, $C$13, 100%, $E$13) + CHOOSE(CONTROL!$C$28, 0, 0)</f>
        <v>221.522846641614</v>
      </c>
    </row>
    <row r="477" spans="1:5" ht="15">
      <c r="A477" s="13">
        <v>56035</v>
      </c>
      <c r="B477" s="4">
        <f>34.6294 * CHOOSE(CONTROL!$C$9, $C$13, 100%, $E$13) + CHOOSE(CONTROL!$C$28, 0.013, 0)</f>
        <v>34.642399999999995</v>
      </c>
      <c r="C477" s="4">
        <f>34.2661 * CHOOSE(CONTROL!$C$9, $C$13, 100%, $E$13) + CHOOSE(CONTROL!$C$28, 0.013, 0)</f>
        <v>34.2791</v>
      </c>
      <c r="D477" s="4">
        <f>46.7794 * CHOOSE(CONTROL!$C$9, $C$13, 100%, $E$13) + CHOOSE(CONTROL!$C$28, 0, 0)</f>
        <v>46.779400000000003</v>
      </c>
      <c r="E477" s="4">
        <f>226.827284317632 * CHOOSE(CONTROL!$C$9, $C$13, 100%, $E$13) + CHOOSE(CONTROL!$C$28, 0, 0)</f>
        <v>226.82728431763201</v>
      </c>
    </row>
    <row r="478" spans="1:5" ht="15">
      <c r="A478" s="13">
        <v>56065</v>
      </c>
      <c r="B478" s="4">
        <f>34.7365 * CHOOSE(CONTROL!$C$9, $C$13, 100%, $E$13) + CHOOSE(CONTROL!$C$28, 0.013, 0)</f>
        <v>34.749499999999998</v>
      </c>
      <c r="C478" s="4">
        <f>34.3733 * CHOOSE(CONTROL!$C$9, $C$13, 100%, $E$13) + CHOOSE(CONTROL!$C$28, 0.013, 0)</f>
        <v>34.386299999999999</v>
      </c>
      <c r="D478" s="4">
        <f>47.1941 * CHOOSE(CONTROL!$C$9, $C$13, 100%, $E$13) + CHOOSE(CONTROL!$C$28, 0, 0)</f>
        <v>47.194099999999999</v>
      </c>
      <c r="E478" s="4">
        <f>227.544996749066 * CHOOSE(CONTROL!$C$9, $C$13, 100%, $E$13) + CHOOSE(CONTROL!$C$28, 0, 0)</f>
        <v>227.544996749066</v>
      </c>
    </row>
    <row r="479" spans="1:5" ht="15">
      <c r="A479" s="13">
        <v>56096</v>
      </c>
      <c r="B479" s="4">
        <f>34.7257 * CHOOSE(CONTROL!$C$9, $C$13, 100%, $E$13) + CHOOSE(CONTROL!$C$28, 0.013, 0)</f>
        <v>34.738700000000001</v>
      </c>
      <c r="C479" s="4">
        <f>34.3625 * CHOOSE(CONTROL!$C$9, $C$13, 100%, $E$13) + CHOOSE(CONTROL!$C$28, 0.013, 0)</f>
        <v>34.375499999999995</v>
      </c>
      <c r="D479" s="4">
        <f>47.9422 * CHOOSE(CONTROL!$C$9, $C$13, 100%, $E$13) + CHOOSE(CONTROL!$C$28, 0, 0)</f>
        <v>47.9422</v>
      </c>
      <c r="E479" s="4">
        <f>227.472622386232 * CHOOSE(CONTROL!$C$9, $C$13, 100%, $E$13) + CHOOSE(CONTROL!$C$28, 0, 0)</f>
        <v>227.47262238623199</v>
      </c>
    </row>
    <row r="480" spans="1:5" ht="15">
      <c r="A480" s="13">
        <v>56127</v>
      </c>
      <c r="B480" s="4">
        <f>35.5386 * CHOOSE(CONTROL!$C$9, $C$13, 100%, $E$13) + CHOOSE(CONTROL!$C$28, 0.013, 0)</f>
        <v>35.551600000000001</v>
      </c>
      <c r="C480" s="4">
        <f>35.1753 * CHOOSE(CONTROL!$C$9, $C$13, 100%, $E$13) + CHOOSE(CONTROL!$C$28, 0.013, 0)</f>
        <v>35.188299999999998</v>
      </c>
      <c r="D480" s="4">
        <f>47.4481 * CHOOSE(CONTROL!$C$9, $C$13, 100%, $E$13) + CHOOSE(CONTROL!$C$28, 0, 0)</f>
        <v>47.448099999999997</v>
      </c>
      <c r="E480" s="4">
        <f>232.918793189466 * CHOOSE(CONTROL!$C$9, $C$13, 100%, $E$13) + CHOOSE(CONTROL!$C$28, 0, 0)</f>
        <v>232.91879318946599</v>
      </c>
    </row>
    <row r="481" spans="1:5" ht="15">
      <c r="A481" s="13">
        <v>56157</v>
      </c>
      <c r="B481" s="4">
        <f>34.1532 * CHOOSE(CONTROL!$C$9, $C$13, 100%, $E$13) + CHOOSE(CONTROL!$C$28, 0.013, 0)</f>
        <v>34.166199999999996</v>
      </c>
      <c r="C481" s="4">
        <f>33.7899 * CHOOSE(CONTROL!$C$9, $C$13, 100%, $E$13) + CHOOSE(CONTROL!$C$28, 0.013, 0)</f>
        <v>33.802900000000001</v>
      </c>
      <c r="D481" s="4">
        <f>47.2147 * CHOOSE(CONTROL!$C$9, $C$13, 100%, $E$13) + CHOOSE(CONTROL!$C$28, 0, 0)</f>
        <v>47.214700000000001</v>
      </c>
      <c r="E481" s="4">
        <f>223.636781156048 * CHOOSE(CONTROL!$C$9, $C$13, 100%, $E$13) + CHOOSE(CONTROL!$C$28, 0, 0)</f>
        <v>223.63678115604799</v>
      </c>
    </row>
    <row r="482" spans="1:5" ht="15">
      <c r="A482" s="13">
        <v>56188</v>
      </c>
      <c r="B482" s="4">
        <f>33.0441 * CHOOSE(CONTROL!$C$9, $C$13, 100%, $E$13) + CHOOSE(CONTROL!$C$28, 0.0003, 0)</f>
        <v>33.044400000000003</v>
      </c>
      <c r="C482" s="4">
        <f>32.6809 * CHOOSE(CONTROL!$C$9, $C$13, 100%, $E$13) + CHOOSE(CONTROL!$C$28, 0.0003, 0)</f>
        <v>32.681200000000004</v>
      </c>
      <c r="D482" s="4">
        <f>46.5897 * CHOOSE(CONTROL!$C$9, $C$13, 100%, $E$13) + CHOOSE(CONTROL!$C$28, 0, 0)</f>
        <v>46.589700000000001</v>
      </c>
      <c r="E482" s="4">
        <f>216.206346571791 * CHOOSE(CONTROL!$C$9, $C$13, 100%, $E$13) + CHOOSE(CONTROL!$C$28, 0, 0)</f>
        <v>216.20634657179099</v>
      </c>
    </row>
    <row r="483" spans="1:5" ht="15">
      <c r="A483" s="13">
        <v>56218</v>
      </c>
      <c r="B483" s="4">
        <f>32.3298 * CHOOSE(CONTROL!$C$9, $C$13, 100%, $E$13) + CHOOSE(CONTROL!$C$28, 0.0003, 0)</f>
        <v>32.330100000000002</v>
      </c>
      <c r="C483" s="4">
        <f>31.9666 * CHOOSE(CONTROL!$C$9, $C$13, 100%, $E$13) + CHOOSE(CONTROL!$C$28, 0.0003, 0)</f>
        <v>31.966899999999999</v>
      </c>
      <c r="D483" s="4">
        <f>46.3748 * CHOOSE(CONTROL!$C$9, $C$13, 100%, $E$13) + CHOOSE(CONTROL!$C$28, 0, 0)</f>
        <v>46.3748</v>
      </c>
      <c r="E483" s="4">
        <f>211.420591829414 * CHOOSE(CONTROL!$C$9, $C$13, 100%, $E$13) + CHOOSE(CONTROL!$C$28, 0, 0)</f>
        <v>211.42059182941401</v>
      </c>
    </row>
    <row r="484" spans="1:5" ht="15">
      <c r="A484" s="13">
        <v>56249</v>
      </c>
      <c r="B484" s="4">
        <f>31.8356 * CHOOSE(CONTROL!$C$9, $C$13, 100%, $E$13) + CHOOSE(CONTROL!$C$28, 0.0003, 0)</f>
        <v>31.835899999999999</v>
      </c>
      <c r="C484" s="4">
        <f>31.4723 * CHOOSE(CONTROL!$C$9, $C$13, 100%, $E$13) + CHOOSE(CONTROL!$C$28, 0.0003, 0)</f>
        <v>31.4726</v>
      </c>
      <c r="D484" s="4">
        <f>44.7927 * CHOOSE(CONTROL!$C$9, $C$13, 100%, $E$13) + CHOOSE(CONTROL!$C$28, 0, 0)</f>
        <v>44.792700000000004</v>
      </c>
      <c r="E484" s="4">
        <f>208.109464729773 * CHOOSE(CONTROL!$C$9, $C$13, 100%, $E$13) + CHOOSE(CONTROL!$C$28, 0, 0)</f>
        <v>208.10946472977301</v>
      </c>
    </row>
    <row r="485" spans="1:5" ht="15">
      <c r="A485" s="13">
        <v>56280</v>
      </c>
      <c r="B485" s="4">
        <f>30.4835 * CHOOSE(CONTROL!$C$9, $C$13, 100%, $E$13) + CHOOSE(CONTROL!$C$28, 0.0003, 0)</f>
        <v>30.483799999999999</v>
      </c>
      <c r="C485" s="4">
        <f>30.1202 * CHOOSE(CONTROL!$C$9, $C$13, 100%, $E$13) + CHOOSE(CONTROL!$C$28, 0.0003, 0)</f>
        <v>30.1205</v>
      </c>
      <c r="D485" s="4">
        <f>43.0499 * CHOOSE(CONTROL!$C$9, $C$13, 100%, $E$13) + CHOOSE(CONTROL!$C$28, 0, 0)</f>
        <v>43.049900000000001</v>
      </c>
      <c r="E485" s="4">
        <f>199.440859889673 * CHOOSE(CONTROL!$C$9, $C$13, 100%, $E$13) + CHOOSE(CONTROL!$C$28, 0, 0)</f>
        <v>199.44085988967299</v>
      </c>
    </row>
    <row r="486" spans="1:5" ht="15">
      <c r="A486" s="13">
        <v>56308</v>
      </c>
      <c r="B486" s="4">
        <f>31.1889 * CHOOSE(CONTROL!$C$9, $C$13, 100%, $E$13) + CHOOSE(CONTROL!$C$28, 0.0003, 0)</f>
        <v>31.1892</v>
      </c>
      <c r="C486" s="4">
        <f>30.8256 * CHOOSE(CONTROL!$C$9, $C$13, 100%, $E$13) + CHOOSE(CONTROL!$C$28, 0.0003, 0)</f>
        <v>30.825900000000001</v>
      </c>
      <c r="D486" s="4">
        <f>44.504 * CHOOSE(CONTROL!$C$9, $C$13, 100%, $E$13) + CHOOSE(CONTROL!$C$28, 0, 0)</f>
        <v>44.503999999999998</v>
      </c>
      <c r="E486" s="4">
        <f>204.176371881822 * CHOOSE(CONTROL!$C$9, $C$13, 100%, $E$13) + CHOOSE(CONTROL!$C$28, 0, 0)</f>
        <v>204.17637188182201</v>
      </c>
    </row>
    <row r="487" spans="1:5" ht="15">
      <c r="A487" s="13">
        <v>56339</v>
      </c>
      <c r="B487" s="4">
        <f>33.0414 * CHOOSE(CONTROL!$C$9, $C$13, 100%, $E$13) + CHOOSE(CONTROL!$C$28, 0.0003, 0)</f>
        <v>33.041700000000006</v>
      </c>
      <c r="C487" s="4">
        <f>32.6781 * CHOOSE(CONTROL!$C$9, $C$13, 100%, $E$13) + CHOOSE(CONTROL!$C$28, 0.0003, 0)</f>
        <v>32.678400000000003</v>
      </c>
      <c r="D487" s="4">
        <f>46.7802 * CHOOSE(CONTROL!$C$9, $C$13, 100%, $E$13) + CHOOSE(CONTROL!$C$28, 0, 0)</f>
        <v>46.780200000000001</v>
      </c>
      <c r="E487" s="4">
        <f>216.612078033594 * CHOOSE(CONTROL!$C$9, $C$13, 100%, $E$13) + CHOOSE(CONTROL!$C$28, 0, 0)</f>
        <v>216.612078033594</v>
      </c>
    </row>
    <row r="488" spans="1:5" ht="15">
      <c r="A488" s="13">
        <v>56369</v>
      </c>
      <c r="B488" s="4">
        <f>34.3576 * CHOOSE(CONTROL!$C$9, $C$13, 100%, $E$13) + CHOOSE(CONTROL!$C$28, 0.0003, 0)</f>
        <v>34.357900000000001</v>
      </c>
      <c r="C488" s="4">
        <f>33.9943 * CHOOSE(CONTROL!$C$9, $C$13, 100%, $E$13) + CHOOSE(CONTROL!$C$28, 0.0003, 0)</f>
        <v>33.994600000000005</v>
      </c>
      <c r="D488" s="4">
        <f>48.0914 * CHOOSE(CONTROL!$C$9, $C$13, 100%, $E$13) + CHOOSE(CONTROL!$C$28, 0, 0)</f>
        <v>48.0914</v>
      </c>
      <c r="E488" s="4">
        <f>225.447812982004 * CHOOSE(CONTROL!$C$9, $C$13, 100%, $E$13) + CHOOSE(CONTROL!$C$28, 0, 0)</f>
        <v>225.447812982004</v>
      </c>
    </row>
    <row r="489" spans="1:5" ht="15">
      <c r="A489" s="13">
        <v>56400</v>
      </c>
      <c r="B489" s="4">
        <f>35.1618 * CHOOSE(CONTROL!$C$9, $C$13, 100%, $E$13) + CHOOSE(CONTROL!$C$28, 0.013, 0)</f>
        <v>35.174799999999998</v>
      </c>
      <c r="C489" s="4">
        <f>34.7985 * CHOOSE(CONTROL!$C$9, $C$13, 100%, $E$13) + CHOOSE(CONTROL!$C$28, 0.013, 0)</f>
        <v>34.811499999999995</v>
      </c>
      <c r="D489" s="4">
        <f>47.5732 * CHOOSE(CONTROL!$C$9, $C$13, 100%, $E$13) + CHOOSE(CONTROL!$C$28, 0, 0)</f>
        <v>47.5732</v>
      </c>
      <c r="E489" s="4">
        <f>230.84623527247 * CHOOSE(CONTROL!$C$9, $C$13, 100%, $E$13) + CHOOSE(CONTROL!$C$28, 0, 0)</f>
        <v>230.84623527247001</v>
      </c>
    </row>
    <row r="490" spans="1:5" ht="15">
      <c r="A490" s="13">
        <v>56430</v>
      </c>
      <c r="B490" s="4">
        <f>35.2706 * CHOOSE(CONTROL!$C$9, $C$13, 100%, $E$13) + CHOOSE(CONTROL!$C$28, 0.013, 0)</f>
        <v>35.2836</v>
      </c>
      <c r="C490" s="4">
        <f>34.9073 * CHOOSE(CONTROL!$C$9, $C$13, 100%, $E$13) + CHOOSE(CONTROL!$C$28, 0.013, 0)</f>
        <v>34.920299999999997</v>
      </c>
      <c r="D490" s="4">
        <f>47.9952 * CHOOSE(CONTROL!$C$9, $C$13, 100%, $E$13) + CHOOSE(CONTROL!$C$28, 0, 0)</f>
        <v>47.995199999999997</v>
      </c>
      <c r="E490" s="4">
        <f>231.576664212283 * CHOOSE(CONTROL!$C$9, $C$13, 100%, $E$13) + CHOOSE(CONTROL!$C$28, 0, 0)</f>
        <v>231.57666421228299</v>
      </c>
    </row>
    <row r="491" spans="1:5" ht="15">
      <c r="A491" s="13">
        <v>56461</v>
      </c>
      <c r="B491" s="4">
        <f>35.2596 * CHOOSE(CONTROL!$C$9, $C$13, 100%, $E$13) + CHOOSE(CONTROL!$C$28, 0.013, 0)</f>
        <v>35.272599999999997</v>
      </c>
      <c r="C491" s="4">
        <f>34.8964 * CHOOSE(CONTROL!$C$9, $C$13, 100%, $E$13) + CHOOSE(CONTROL!$C$28, 0.013, 0)</f>
        <v>34.909399999999998</v>
      </c>
      <c r="D491" s="4">
        <f>48.7566 * CHOOSE(CONTROL!$C$9, $C$13, 100%, $E$13) + CHOOSE(CONTROL!$C$28, 0, 0)</f>
        <v>48.756599999999999</v>
      </c>
      <c r="E491" s="4">
        <f>231.503007512469 * CHOOSE(CONTROL!$C$9, $C$13, 100%, $E$13) + CHOOSE(CONTROL!$C$28, 0, 0)</f>
        <v>231.503007512469</v>
      </c>
    </row>
    <row r="492" spans="1:5" ht="15">
      <c r="A492" s="13">
        <v>56492</v>
      </c>
      <c r="B492" s="4">
        <f>36.0853 * CHOOSE(CONTROL!$C$9, $C$13, 100%, $E$13) + CHOOSE(CONTROL!$C$28, 0.013, 0)</f>
        <v>36.098299999999995</v>
      </c>
      <c r="C492" s="4">
        <f>35.722 * CHOOSE(CONTROL!$C$9, $C$13, 100%, $E$13) + CHOOSE(CONTROL!$C$28, 0.013, 0)</f>
        <v>35.734999999999999</v>
      </c>
      <c r="D492" s="4">
        <f>48.2538 * CHOOSE(CONTROL!$C$9, $C$13, 100%, $E$13) + CHOOSE(CONTROL!$C$28, 0, 0)</f>
        <v>48.253799999999998</v>
      </c>
      <c r="E492" s="4">
        <f>237.045674173403 * CHOOSE(CONTROL!$C$9, $C$13, 100%, $E$13) + CHOOSE(CONTROL!$C$28, 0, 0)</f>
        <v>237.045674173403</v>
      </c>
    </row>
    <row r="493" spans="1:5" ht="15">
      <c r="A493" s="13">
        <v>56522</v>
      </c>
      <c r="B493" s="4">
        <f>34.6781 * CHOOSE(CONTROL!$C$9, $C$13, 100%, $E$13) + CHOOSE(CONTROL!$C$28, 0.013, 0)</f>
        <v>34.691099999999999</v>
      </c>
      <c r="C493" s="4">
        <f>34.3148 * CHOOSE(CONTROL!$C$9, $C$13, 100%, $E$13) + CHOOSE(CONTROL!$C$28, 0.013, 0)</f>
        <v>34.327799999999996</v>
      </c>
      <c r="D493" s="4">
        <f>48.0162 * CHOOSE(CONTROL!$C$9, $C$13, 100%, $E$13) + CHOOSE(CONTROL!$C$28, 0, 0)</f>
        <v>48.016199999999998</v>
      </c>
      <c r="E493" s="4">
        <f>227.599202422377 * CHOOSE(CONTROL!$C$9, $C$13, 100%, $E$13) + CHOOSE(CONTROL!$C$28, 0, 0)</f>
        <v>227.599202422377</v>
      </c>
    </row>
    <row r="494" spans="1:5" ht="15">
      <c r="A494" s="13">
        <v>56553</v>
      </c>
      <c r="B494" s="4">
        <f>33.5516 * CHOOSE(CONTROL!$C$9, $C$13, 100%, $E$13) + CHOOSE(CONTROL!$C$28, 0.0003, 0)</f>
        <v>33.551900000000003</v>
      </c>
      <c r="C494" s="4">
        <f>33.1883 * CHOOSE(CONTROL!$C$9, $C$13, 100%, $E$13) + CHOOSE(CONTROL!$C$28, 0.0003, 0)</f>
        <v>33.188600000000001</v>
      </c>
      <c r="D494" s="4">
        <f>47.3801 * CHOOSE(CONTROL!$C$9, $C$13, 100%, $E$13) + CHOOSE(CONTROL!$C$28, 0, 0)</f>
        <v>47.380099999999999</v>
      </c>
      <c r="E494" s="4">
        <f>220.037114574902 * CHOOSE(CONTROL!$C$9, $C$13, 100%, $E$13) + CHOOSE(CONTROL!$C$28, 0, 0)</f>
        <v>220.03711457490201</v>
      </c>
    </row>
    <row r="495" spans="1:5" ht="15">
      <c r="A495" s="13">
        <v>56583</v>
      </c>
      <c r="B495" s="4">
        <f>32.8261 * CHOOSE(CONTROL!$C$9, $C$13, 100%, $E$13) + CHOOSE(CONTROL!$C$28, 0.0003, 0)</f>
        <v>32.8264</v>
      </c>
      <c r="C495" s="4">
        <f>32.4628 * CHOOSE(CONTROL!$C$9, $C$13, 100%, $E$13) + CHOOSE(CONTROL!$C$28, 0.0003, 0)</f>
        <v>32.463100000000004</v>
      </c>
      <c r="D495" s="4">
        <f>47.1614 * CHOOSE(CONTROL!$C$9, $C$13, 100%, $E$13) + CHOOSE(CONTROL!$C$28, 0, 0)</f>
        <v>47.1614</v>
      </c>
      <c r="E495" s="4">
        <f>215.166565299763 * CHOOSE(CONTROL!$C$9, $C$13, 100%, $E$13) + CHOOSE(CONTROL!$C$28, 0, 0)</f>
        <v>215.16656529976299</v>
      </c>
    </row>
    <row r="496" spans="1:5" ht="15">
      <c r="A496" s="13">
        <v>56614</v>
      </c>
      <c r="B496" s="4">
        <f>32.3241 * CHOOSE(CONTROL!$C$9, $C$13, 100%, $E$13) + CHOOSE(CONTROL!$C$28, 0.0003, 0)</f>
        <v>32.324400000000004</v>
      </c>
      <c r="C496" s="4">
        <f>31.9608 * CHOOSE(CONTROL!$C$9, $C$13, 100%, $E$13) + CHOOSE(CONTROL!$C$28, 0.0003, 0)</f>
        <v>31.961099999999998</v>
      </c>
      <c r="D496" s="4">
        <f>45.5514 * CHOOSE(CONTROL!$C$9, $C$13, 100%, $E$13) + CHOOSE(CONTROL!$C$28, 0, 0)</f>
        <v>45.551400000000001</v>
      </c>
      <c r="E496" s="4">
        <f>211.796771283315 * CHOOSE(CONTROL!$C$9, $C$13, 100%, $E$13) + CHOOSE(CONTROL!$C$28, 0, 0)</f>
        <v>211.796771283315</v>
      </c>
    </row>
    <row r="497" spans="1:5" ht="15">
      <c r="A497" s="13">
        <v>56645</v>
      </c>
      <c r="B497" s="4">
        <f>30.9506 * CHOOSE(CONTROL!$C$9, $C$13, 100%, $E$13) + CHOOSE(CONTROL!$C$28, 0.0003, 0)</f>
        <v>30.950900000000001</v>
      </c>
      <c r="C497" s="4">
        <f>30.5874 * CHOOSE(CONTROL!$C$9, $C$13, 100%, $E$13) + CHOOSE(CONTROL!$C$28, 0.0003, 0)</f>
        <v>30.587699999999998</v>
      </c>
      <c r="D497" s="4">
        <f>43.7779 * CHOOSE(CONTROL!$C$9, $C$13, 100%, $E$13) + CHOOSE(CONTROL!$C$28, 0, 0)</f>
        <v>43.777900000000002</v>
      </c>
      <c r="E497" s="4">
        <f>202.974575142221 * CHOOSE(CONTROL!$C$9, $C$13, 100%, $E$13) + CHOOSE(CONTROL!$C$28, 0, 0)</f>
        <v>202.974575142221</v>
      </c>
    </row>
    <row r="498" spans="1:5" ht="15">
      <c r="A498" s="13">
        <v>56673</v>
      </c>
      <c r="B498" s="4">
        <f>31.6672 * CHOOSE(CONTROL!$C$9, $C$13, 100%, $E$13) + CHOOSE(CONTROL!$C$28, 0.0003, 0)</f>
        <v>31.6675</v>
      </c>
      <c r="C498" s="4">
        <f>31.3039 * CHOOSE(CONTROL!$C$9, $C$13, 100%, $E$13) + CHOOSE(CONTROL!$C$28, 0.0003, 0)</f>
        <v>31.304199999999998</v>
      </c>
      <c r="D498" s="4">
        <f>45.2576 * CHOOSE(CONTROL!$C$9, $C$13, 100%, $E$13) + CHOOSE(CONTROL!$C$28, 0, 0)</f>
        <v>45.257599999999996</v>
      </c>
      <c r="E498" s="4">
        <f>207.793991460517 * CHOOSE(CONTROL!$C$9, $C$13, 100%, $E$13) + CHOOSE(CONTROL!$C$28, 0, 0)</f>
        <v>207.79399146051699</v>
      </c>
    </row>
    <row r="499" spans="1:5" ht="15">
      <c r="A499" s="13">
        <v>56704</v>
      </c>
      <c r="B499" s="4">
        <f>33.5488 * CHOOSE(CONTROL!$C$9, $C$13, 100%, $E$13) + CHOOSE(CONTROL!$C$28, 0.0003, 0)</f>
        <v>33.549100000000003</v>
      </c>
      <c r="C499" s="4">
        <f>33.1855 * CHOOSE(CONTROL!$C$9, $C$13, 100%, $E$13) + CHOOSE(CONTROL!$C$28, 0.0003, 0)</f>
        <v>33.1858</v>
      </c>
      <c r="D499" s="4">
        <f>47.574 * CHOOSE(CONTROL!$C$9, $C$13, 100%, $E$13) + CHOOSE(CONTROL!$C$28, 0, 0)</f>
        <v>47.573999999999998</v>
      </c>
      <c r="E499" s="4">
        <f>220.450034831699 * CHOOSE(CONTROL!$C$9, $C$13, 100%, $E$13) + CHOOSE(CONTROL!$C$28, 0, 0)</f>
        <v>220.45003483169901</v>
      </c>
    </row>
    <row r="500" spans="1:5" ht="15">
      <c r="A500" s="13">
        <v>56734</v>
      </c>
      <c r="B500" s="4">
        <f>34.8857 * CHOOSE(CONTROL!$C$9, $C$13, 100%, $E$13) + CHOOSE(CONTROL!$C$28, 0.0003, 0)</f>
        <v>34.886000000000003</v>
      </c>
      <c r="C500" s="4">
        <f>34.5224 * CHOOSE(CONTROL!$C$9, $C$13, 100%, $E$13) + CHOOSE(CONTROL!$C$28, 0.0003, 0)</f>
        <v>34.5227</v>
      </c>
      <c r="D500" s="4">
        <f>48.9083 * CHOOSE(CONTROL!$C$9, $C$13, 100%, $E$13) + CHOOSE(CONTROL!$C$28, 0, 0)</f>
        <v>48.908299999999997</v>
      </c>
      <c r="E500" s="4">
        <f>229.442322310878 * CHOOSE(CONTROL!$C$9, $C$13, 100%, $E$13) + CHOOSE(CONTROL!$C$28, 0, 0)</f>
        <v>229.44232231087801</v>
      </c>
    </row>
    <row r="501" spans="1:5" ht="15">
      <c r="A501" s="13">
        <v>56765</v>
      </c>
      <c r="B501" s="4">
        <f>35.7026 * CHOOSE(CONTROL!$C$9, $C$13, 100%, $E$13) + CHOOSE(CONTROL!$C$28, 0.013, 0)</f>
        <v>35.715599999999995</v>
      </c>
      <c r="C501" s="4">
        <f>35.3393 * CHOOSE(CONTROL!$C$9, $C$13, 100%, $E$13) + CHOOSE(CONTROL!$C$28, 0.013, 0)</f>
        <v>35.3523</v>
      </c>
      <c r="D501" s="4">
        <f>48.3811 * CHOOSE(CONTROL!$C$9, $C$13, 100%, $E$13) + CHOOSE(CONTROL!$C$28, 0, 0)</f>
        <v>48.381100000000004</v>
      </c>
      <c r="E501" s="4">
        <f>234.936394445604 * CHOOSE(CONTROL!$C$9, $C$13, 100%, $E$13) + CHOOSE(CONTROL!$C$28, 0, 0)</f>
        <v>234.93639444560401</v>
      </c>
    </row>
    <row r="502" spans="1:5" ht="15">
      <c r="A502" s="13">
        <v>56795</v>
      </c>
      <c r="B502" s="4">
        <f>35.8131 * CHOOSE(CONTROL!$C$9, $C$13, 100%, $E$13) + CHOOSE(CONTROL!$C$28, 0.013, 0)</f>
        <v>35.826099999999997</v>
      </c>
      <c r="C502" s="4">
        <f>35.4498 * CHOOSE(CONTROL!$C$9, $C$13, 100%, $E$13) + CHOOSE(CONTROL!$C$28, 0.013, 0)</f>
        <v>35.462800000000001</v>
      </c>
      <c r="D502" s="4">
        <f>48.8105 * CHOOSE(CONTROL!$C$9, $C$13, 100%, $E$13) + CHOOSE(CONTROL!$C$28, 0, 0)</f>
        <v>48.810499999999998</v>
      </c>
      <c r="E502" s="4">
        <f>235.679765206301 * CHOOSE(CONTROL!$C$9, $C$13, 100%, $E$13) + CHOOSE(CONTROL!$C$28, 0, 0)</f>
        <v>235.679765206301</v>
      </c>
    </row>
    <row r="503" spans="1:5" ht="15">
      <c r="A503" s="13">
        <v>56826</v>
      </c>
      <c r="B503" s="4">
        <f>35.8019 * CHOOSE(CONTROL!$C$9, $C$13, 100%, $E$13) + CHOOSE(CONTROL!$C$28, 0.013, 0)</f>
        <v>35.814900000000002</v>
      </c>
      <c r="C503" s="4">
        <f>35.4386 * CHOOSE(CONTROL!$C$9, $C$13, 100%, $E$13) + CHOOSE(CONTROL!$C$28, 0.013, 0)</f>
        <v>35.451599999999999</v>
      </c>
      <c r="D503" s="4">
        <f>49.5853 * CHOOSE(CONTROL!$C$9, $C$13, 100%, $E$13) + CHOOSE(CONTROL!$C$28, 0, 0)</f>
        <v>49.585299999999997</v>
      </c>
      <c r="E503" s="4">
        <f>235.604803448919 * CHOOSE(CONTROL!$C$9, $C$13, 100%, $E$13) + CHOOSE(CONTROL!$C$28, 0, 0)</f>
        <v>235.604803448919</v>
      </c>
    </row>
    <row r="504" spans="1:5" ht="15">
      <c r="A504" s="13">
        <v>56857</v>
      </c>
      <c r="B504" s="4">
        <f>36.6406 * CHOOSE(CONTROL!$C$9, $C$13, 100%, $E$13) + CHOOSE(CONTROL!$C$28, 0.013, 0)</f>
        <v>36.653599999999997</v>
      </c>
      <c r="C504" s="4">
        <f>36.2773 * CHOOSE(CONTROL!$C$9, $C$13, 100%, $E$13) + CHOOSE(CONTROL!$C$28, 0.013, 0)</f>
        <v>36.290299999999995</v>
      </c>
      <c r="D504" s="4">
        <f>49.0736 * CHOOSE(CONTROL!$C$9, $C$13, 100%, $E$13) + CHOOSE(CONTROL!$C$28, 0, 0)</f>
        <v>49.073599999999999</v>
      </c>
      <c r="E504" s="4">
        <f>241.24567569185 * CHOOSE(CONTROL!$C$9, $C$13, 100%, $E$13) + CHOOSE(CONTROL!$C$28, 0, 0)</f>
        <v>241.24567569185001</v>
      </c>
    </row>
    <row r="505" spans="1:5" ht="15">
      <c r="A505" s="13">
        <v>56887</v>
      </c>
      <c r="B505" s="4">
        <f>35.2112 * CHOOSE(CONTROL!$C$9, $C$13, 100%, $E$13) + CHOOSE(CONTROL!$C$28, 0.013, 0)</f>
        <v>35.224199999999996</v>
      </c>
      <c r="C505" s="4">
        <f>34.848 * CHOOSE(CONTROL!$C$9, $C$13, 100%, $E$13) + CHOOSE(CONTROL!$C$28, 0.013, 0)</f>
        <v>34.860999999999997</v>
      </c>
      <c r="D505" s="4">
        <f>48.8318 * CHOOSE(CONTROL!$C$9, $C$13, 100%, $E$13) + CHOOSE(CONTROL!$C$28, 0, 0)</f>
        <v>48.831800000000001</v>
      </c>
      <c r="E505" s="4">
        <f>231.631830307719 * CHOOSE(CONTROL!$C$9, $C$13, 100%, $E$13) + CHOOSE(CONTROL!$C$28, 0, 0)</f>
        <v>231.63183030771901</v>
      </c>
    </row>
    <row r="506" spans="1:5" ht="15">
      <c r="A506" s="13">
        <v>56918</v>
      </c>
      <c r="B506" s="4">
        <f>34.067 * CHOOSE(CONTROL!$C$9, $C$13, 100%, $E$13) + CHOOSE(CONTROL!$C$28, 0.0003, 0)</f>
        <v>34.067300000000003</v>
      </c>
      <c r="C506" s="4">
        <f>33.7038 * CHOOSE(CONTROL!$C$9, $C$13, 100%, $E$13) + CHOOSE(CONTROL!$C$28, 0.0003, 0)</f>
        <v>33.704100000000004</v>
      </c>
      <c r="D506" s="4">
        <f>48.1845 * CHOOSE(CONTROL!$C$9, $C$13, 100%, $E$13) + CHOOSE(CONTROL!$C$28, 0, 0)</f>
        <v>48.1845</v>
      </c>
      <c r="E506" s="4">
        <f>223.935756549922 * CHOOSE(CONTROL!$C$9, $C$13, 100%, $E$13) + CHOOSE(CONTROL!$C$28, 0, 0)</f>
        <v>223.93575654992199</v>
      </c>
    </row>
    <row r="507" spans="1:5" ht="15">
      <c r="A507" s="13">
        <v>56948</v>
      </c>
      <c r="B507" s="4">
        <f>33.3301 * CHOOSE(CONTROL!$C$9, $C$13, 100%, $E$13) + CHOOSE(CONTROL!$C$28, 0.0003, 0)</f>
        <v>33.330400000000004</v>
      </c>
      <c r="C507" s="4">
        <f>32.9668 * CHOOSE(CONTROL!$C$9, $C$13, 100%, $E$13) + CHOOSE(CONTROL!$C$28, 0.0003, 0)</f>
        <v>32.967100000000002</v>
      </c>
      <c r="D507" s="4">
        <f>47.962 * CHOOSE(CONTROL!$C$9, $C$13, 100%, $E$13) + CHOOSE(CONTROL!$C$28, 0, 0)</f>
        <v>47.962000000000003</v>
      </c>
      <c r="E507" s="4">
        <f>218.978910343094 * CHOOSE(CONTROL!$C$9, $C$13, 100%, $E$13) + CHOOSE(CONTROL!$C$28, 0, 0)</f>
        <v>218.97891034309399</v>
      </c>
    </row>
    <row r="508" spans="1:5" ht="15">
      <c r="A508" s="13">
        <v>56979</v>
      </c>
      <c r="B508" s="4">
        <f>32.8202 * CHOOSE(CONTROL!$C$9, $C$13, 100%, $E$13) + CHOOSE(CONTROL!$C$28, 0.0003, 0)</f>
        <v>32.820500000000003</v>
      </c>
      <c r="C508" s="4">
        <f>32.4569 * CHOOSE(CONTROL!$C$9, $C$13, 100%, $E$13) + CHOOSE(CONTROL!$C$28, 0.0003, 0)</f>
        <v>32.4572</v>
      </c>
      <c r="D508" s="4">
        <f>46.3235 * CHOOSE(CONTROL!$C$9, $C$13, 100%, $E$13) + CHOOSE(CONTROL!$C$28, 0, 0)</f>
        <v>46.323500000000003</v>
      </c>
      <c r="E508" s="4">
        <f>215.549409942907 * CHOOSE(CONTROL!$C$9, $C$13, 100%, $E$13) + CHOOSE(CONTROL!$C$28, 0, 0)</f>
        <v>215.549409942907</v>
      </c>
    </row>
    <row r="509" spans="1:5" ht="15">
      <c r="A509" s="13">
        <v>57010</v>
      </c>
      <c r="B509" s="4">
        <f>31.4252 * CHOOSE(CONTROL!$C$9, $C$13, 100%, $E$13) + CHOOSE(CONTROL!$C$28, 0.0003, 0)</f>
        <v>31.4255</v>
      </c>
      <c r="C509" s="4">
        <f>31.0619 * CHOOSE(CONTROL!$C$9, $C$13, 100%, $E$13) + CHOOSE(CONTROL!$C$28, 0.0003, 0)</f>
        <v>31.062200000000001</v>
      </c>
      <c r="D509" s="4">
        <f>44.5186 * CHOOSE(CONTROL!$C$9, $C$13, 100%, $E$13) + CHOOSE(CONTROL!$C$28, 0, 0)</f>
        <v>44.518599999999999</v>
      </c>
      <c r="E509" s="4">
        <f>206.570901153131 * CHOOSE(CONTROL!$C$9, $C$13, 100%, $E$13) + CHOOSE(CONTROL!$C$28, 0, 0)</f>
        <v>206.57090115313099</v>
      </c>
    </row>
    <row r="510" spans="1:5" ht="15">
      <c r="A510" s="13">
        <v>57038</v>
      </c>
      <c r="B510" s="4">
        <f>32.153 * CHOOSE(CONTROL!$C$9, $C$13, 100%, $E$13) + CHOOSE(CONTROL!$C$28, 0.0003, 0)</f>
        <v>32.153300000000002</v>
      </c>
      <c r="C510" s="4">
        <f>31.7897 * CHOOSE(CONTROL!$C$9, $C$13, 100%, $E$13) + CHOOSE(CONTROL!$C$28, 0.0003, 0)</f>
        <v>31.79</v>
      </c>
      <c r="D510" s="4">
        <f>46.0245 * CHOOSE(CONTROL!$C$9, $C$13, 100%, $E$13) + CHOOSE(CONTROL!$C$28, 0, 0)</f>
        <v>46.024500000000003</v>
      </c>
      <c r="E510" s="4">
        <f>211.475708423721 * CHOOSE(CONTROL!$C$9, $C$13, 100%, $E$13) + CHOOSE(CONTROL!$C$28, 0, 0)</f>
        <v>211.47570842372099</v>
      </c>
    </row>
    <row r="511" spans="1:5" ht="15">
      <c r="A511" s="13">
        <v>57070</v>
      </c>
      <c r="B511" s="4">
        <f>34.0642 * CHOOSE(CONTROL!$C$9, $C$13, 100%, $E$13) + CHOOSE(CONTROL!$C$28, 0.0003, 0)</f>
        <v>34.064500000000002</v>
      </c>
      <c r="C511" s="4">
        <f>33.7009 * CHOOSE(CONTROL!$C$9, $C$13, 100%, $E$13) + CHOOSE(CONTROL!$C$28, 0.0003, 0)</f>
        <v>33.7012</v>
      </c>
      <c r="D511" s="4">
        <f>48.3818 * CHOOSE(CONTROL!$C$9, $C$13, 100%, $E$13) + CHOOSE(CONTROL!$C$28, 0, 0)</f>
        <v>48.381799999999998</v>
      </c>
      <c r="E511" s="4">
        <f>224.355992973579 * CHOOSE(CONTROL!$C$9, $C$13, 100%, $E$13) + CHOOSE(CONTROL!$C$28, 0, 0)</f>
        <v>224.35599297357899</v>
      </c>
    </row>
    <row r="512" spans="1:5" ht="15">
      <c r="A512" s="13">
        <v>57100</v>
      </c>
      <c r="B512" s="4">
        <f>35.4221 * CHOOSE(CONTROL!$C$9, $C$13, 100%, $E$13) + CHOOSE(CONTROL!$C$28, 0.0003, 0)</f>
        <v>35.422400000000003</v>
      </c>
      <c r="C512" s="4">
        <f>35.0589 * CHOOSE(CONTROL!$C$9, $C$13, 100%, $E$13) + CHOOSE(CONTROL!$C$28, 0.0003, 0)</f>
        <v>35.059200000000004</v>
      </c>
      <c r="D512" s="4">
        <f>49.7397 * CHOOSE(CONTROL!$C$9, $C$13, 100%, $E$13) + CHOOSE(CONTROL!$C$28, 0, 0)</f>
        <v>49.739699999999999</v>
      </c>
      <c r="E512" s="4">
        <f>233.507606798613 * CHOOSE(CONTROL!$C$9, $C$13, 100%, $E$13) + CHOOSE(CONTROL!$C$28, 0, 0)</f>
        <v>233.50760679861301</v>
      </c>
    </row>
    <row r="513" spans="1:5" ht="15">
      <c r="A513" s="13">
        <v>57131</v>
      </c>
      <c r="B513" s="4">
        <f>36.2518 * CHOOSE(CONTROL!$C$9, $C$13, 100%, $E$13) + CHOOSE(CONTROL!$C$28, 0.013, 0)</f>
        <v>36.264800000000001</v>
      </c>
      <c r="C513" s="4">
        <f>35.8885 * CHOOSE(CONTROL!$C$9, $C$13, 100%, $E$13) + CHOOSE(CONTROL!$C$28, 0.013, 0)</f>
        <v>35.901499999999999</v>
      </c>
      <c r="D513" s="4">
        <f>49.2032 * CHOOSE(CONTROL!$C$9, $C$13, 100%, $E$13) + CHOOSE(CONTROL!$C$28, 0, 0)</f>
        <v>49.203200000000002</v>
      </c>
      <c r="E513" s="4">
        <f>239.099023512137 * CHOOSE(CONTROL!$C$9, $C$13, 100%, $E$13) + CHOOSE(CONTROL!$C$28, 0, 0)</f>
        <v>239.09902351213699</v>
      </c>
    </row>
    <row r="514" spans="1:5" ht="15">
      <c r="A514" s="13">
        <v>57161</v>
      </c>
      <c r="B514" s="4">
        <f>36.3641 * CHOOSE(CONTROL!$C$9, $C$13, 100%, $E$13) + CHOOSE(CONTROL!$C$28, 0.013, 0)</f>
        <v>36.377099999999999</v>
      </c>
      <c r="C514" s="4">
        <f>36.0008 * CHOOSE(CONTROL!$C$9, $C$13, 100%, $E$13) + CHOOSE(CONTROL!$C$28, 0.013, 0)</f>
        <v>36.013799999999996</v>
      </c>
      <c r="D514" s="4">
        <f>49.6402 * CHOOSE(CONTROL!$C$9, $C$13, 100%, $E$13) + CHOOSE(CONTROL!$C$28, 0, 0)</f>
        <v>49.6402</v>
      </c>
      <c r="E514" s="4">
        <f>239.855565398333 * CHOOSE(CONTROL!$C$9, $C$13, 100%, $E$13) + CHOOSE(CONTROL!$C$28, 0, 0)</f>
        <v>239.855565398333</v>
      </c>
    </row>
    <row r="515" spans="1:5" ht="15">
      <c r="A515" s="13">
        <v>57192</v>
      </c>
      <c r="B515" s="4">
        <f>36.3528 * CHOOSE(CONTROL!$C$9, $C$13, 100%, $E$13) + CHOOSE(CONTROL!$C$28, 0.013, 0)</f>
        <v>36.3658</v>
      </c>
      <c r="C515" s="4">
        <f>35.9895 * CHOOSE(CONTROL!$C$9, $C$13, 100%, $E$13) + CHOOSE(CONTROL!$C$28, 0.013, 0)</f>
        <v>36.002499999999998</v>
      </c>
      <c r="D515" s="4">
        <f>50.4287 * CHOOSE(CONTROL!$C$9, $C$13, 100%, $E$13) + CHOOSE(CONTROL!$C$28, 0, 0)</f>
        <v>50.428699999999999</v>
      </c>
      <c r="E515" s="4">
        <f>239.779275460229 * CHOOSE(CONTROL!$C$9, $C$13, 100%, $E$13) + CHOOSE(CONTROL!$C$28, 0, 0)</f>
        <v>239.779275460229</v>
      </c>
    </row>
    <row r="516" spans="1:5" ht="15">
      <c r="A516" s="13">
        <v>57223</v>
      </c>
      <c r="B516" s="4">
        <f>37.2046 * CHOOSE(CONTROL!$C$9, $C$13, 100%, $E$13) + CHOOSE(CONTROL!$C$28, 0.013, 0)</f>
        <v>37.217599999999997</v>
      </c>
      <c r="C516" s="4">
        <f>36.8413 * CHOOSE(CONTROL!$C$9, $C$13, 100%, $E$13) + CHOOSE(CONTROL!$C$28, 0.013, 0)</f>
        <v>36.854299999999995</v>
      </c>
      <c r="D516" s="4">
        <f>49.9079 * CHOOSE(CONTROL!$C$9, $C$13, 100%, $E$13) + CHOOSE(CONTROL!$C$28, 0, 0)</f>
        <v>49.907899999999998</v>
      </c>
      <c r="E516" s="4">
        <f>245.52009330254 * CHOOSE(CONTROL!$C$9, $C$13, 100%, $E$13) + CHOOSE(CONTROL!$C$28, 0, 0)</f>
        <v>245.52009330254</v>
      </c>
    </row>
    <row r="517" spans="1:5" ht="15">
      <c r="A517" s="13">
        <v>57253</v>
      </c>
      <c r="B517" s="4">
        <f>35.7528 * CHOOSE(CONTROL!$C$9, $C$13, 100%, $E$13) + CHOOSE(CONTROL!$C$28, 0.013, 0)</f>
        <v>35.765799999999999</v>
      </c>
      <c r="C517" s="4">
        <f>35.3895 * CHOOSE(CONTROL!$C$9, $C$13, 100%, $E$13) + CHOOSE(CONTROL!$C$28, 0.013, 0)</f>
        <v>35.402499999999996</v>
      </c>
      <c r="D517" s="4">
        <f>49.6619 * CHOOSE(CONTROL!$C$9, $C$13, 100%, $E$13) + CHOOSE(CONTROL!$C$28, 0, 0)</f>
        <v>49.661900000000003</v>
      </c>
      <c r="E517" s="4">
        <f>235.735908740728 * CHOOSE(CONTROL!$C$9, $C$13, 100%, $E$13) + CHOOSE(CONTROL!$C$28, 0, 0)</f>
        <v>235.73590874072801</v>
      </c>
    </row>
    <row r="518" spans="1:5" ht="15">
      <c r="A518" s="13">
        <v>57284</v>
      </c>
      <c r="B518" s="4">
        <f>34.5906 * CHOOSE(CONTROL!$C$9, $C$13, 100%, $E$13) + CHOOSE(CONTROL!$C$28, 0.0003, 0)</f>
        <v>34.590900000000005</v>
      </c>
      <c r="C518" s="4">
        <f>34.2273 * CHOOSE(CONTROL!$C$9, $C$13, 100%, $E$13) + CHOOSE(CONTROL!$C$28, 0.0003, 0)</f>
        <v>34.227600000000002</v>
      </c>
      <c r="D518" s="4">
        <f>49.0031 * CHOOSE(CONTROL!$C$9, $C$13, 100%, $E$13) + CHOOSE(CONTROL!$C$28, 0, 0)</f>
        <v>49.003100000000003</v>
      </c>
      <c r="E518" s="4">
        <f>227.903475095405 * CHOOSE(CONTROL!$C$9, $C$13, 100%, $E$13) + CHOOSE(CONTROL!$C$28, 0, 0)</f>
        <v>227.90347509540501</v>
      </c>
    </row>
    <row r="519" spans="1:5" ht="15">
      <c r="A519" s="13">
        <v>57314</v>
      </c>
      <c r="B519" s="4">
        <f>33.842 * CHOOSE(CONTROL!$C$9, $C$13, 100%, $E$13) + CHOOSE(CONTROL!$C$28, 0.0003, 0)</f>
        <v>33.842300000000002</v>
      </c>
      <c r="C519" s="4">
        <f>33.4787 * CHOOSE(CONTROL!$C$9, $C$13, 100%, $E$13) + CHOOSE(CONTROL!$C$28, 0.0003, 0)</f>
        <v>33.479000000000006</v>
      </c>
      <c r="D519" s="4">
        <f>48.7766 * CHOOSE(CONTROL!$C$9, $C$13, 100%, $E$13) + CHOOSE(CONTROL!$C$28, 0, 0)</f>
        <v>48.776600000000002</v>
      </c>
      <c r="E519" s="4">
        <f>222.858802938292 * CHOOSE(CONTROL!$C$9, $C$13, 100%, $E$13) + CHOOSE(CONTROL!$C$28, 0, 0)</f>
        <v>222.858802938292</v>
      </c>
    </row>
    <row r="520" spans="1:5" ht="15">
      <c r="A520" s="13">
        <v>57345</v>
      </c>
      <c r="B520" s="4">
        <f>33.3241 * CHOOSE(CONTROL!$C$9, $C$13, 100%, $E$13) + CHOOSE(CONTROL!$C$28, 0.0003, 0)</f>
        <v>33.324400000000004</v>
      </c>
      <c r="C520" s="4">
        <f>32.9609 * CHOOSE(CONTROL!$C$9, $C$13, 100%, $E$13) + CHOOSE(CONTROL!$C$28, 0.0003, 0)</f>
        <v>32.961200000000005</v>
      </c>
      <c r="D520" s="4">
        <f>47.1092 * CHOOSE(CONTROL!$C$9, $C$13, 100%, $E$13) + CHOOSE(CONTROL!$C$28, 0, 0)</f>
        <v>47.109200000000001</v>
      </c>
      <c r="E520" s="4">
        <f>219.368538270043 * CHOOSE(CONTROL!$C$9, $C$13, 100%, $E$13) + CHOOSE(CONTROL!$C$28, 0, 0)</f>
        <v>219.36853827004299</v>
      </c>
    </row>
    <row r="521" spans="1:5" ht="15">
      <c r="A521" s="13">
        <v>57376</v>
      </c>
      <c r="B521" s="4">
        <f>31.9072 * CHOOSE(CONTROL!$C$9, $C$13, 100%, $E$13) + CHOOSE(CONTROL!$C$28, 0.0003, 0)</f>
        <v>31.907499999999999</v>
      </c>
      <c r="C521" s="4">
        <f>31.5439 * CHOOSE(CONTROL!$C$9, $C$13, 100%, $E$13) + CHOOSE(CONTROL!$C$28, 0.0003, 0)</f>
        <v>31.5442</v>
      </c>
      <c r="D521" s="4">
        <f>45.2725 * CHOOSE(CONTROL!$C$9, $C$13, 100%, $E$13) + CHOOSE(CONTROL!$C$28, 0, 0)</f>
        <v>45.272500000000001</v>
      </c>
      <c r="E521" s="4">
        <f>210.230947266757 * CHOOSE(CONTROL!$C$9, $C$13, 100%, $E$13) + CHOOSE(CONTROL!$C$28, 0, 0)</f>
        <v>210.230947266757</v>
      </c>
    </row>
    <row r="522" spans="1:5" ht="15">
      <c r="A522" s="13">
        <v>57404</v>
      </c>
      <c r="B522" s="4">
        <f>32.6464 * CHOOSE(CONTROL!$C$9, $C$13, 100%, $E$13) + CHOOSE(CONTROL!$C$28, 0.0003, 0)</f>
        <v>32.646700000000003</v>
      </c>
      <c r="C522" s="4">
        <f>32.2831 * CHOOSE(CONTROL!$C$9, $C$13, 100%, $E$13) + CHOOSE(CONTROL!$C$28, 0.0003, 0)</f>
        <v>32.2834</v>
      </c>
      <c r="D522" s="4">
        <f>46.8049 * CHOOSE(CONTROL!$C$9, $C$13, 100%, $E$13) + CHOOSE(CONTROL!$C$28, 0, 0)</f>
        <v>46.804900000000004</v>
      </c>
      <c r="E522" s="4">
        <f>215.222658455995 * CHOOSE(CONTROL!$C$9, $C$13, 100%, $E$13) + CHOOSE(CONTROL!$C$28, 0, 0)</f>
        <v>215.222658455995</v>
      </c>
    </row>
    <row r="523" spans="1:5" ht="15">
      <c r="A523" s="13">
        <v>57435</v>
      </c>
      <c r="B523" s="4">
        <f>34.5877 * CHOOSE(CONTROL!$C$9, $C$13, 100%, $E$13) + CHOOSE(CONTROL!$C$28, 0.0003, 0)</f>
        <v>34.588000000000001</v>
      </c>
      <c r="C523" s="4">
        <f>34.2244 * CHOOSE(CONTROL!$C$9, $C$13, 100%, $E$13) + CHOOSE(CONTROL!$C$28, 0.0003, 0)</f>
        <v>34.224700000000006</v>
      </c>
      <c r="D523" s="4">
        <f>49.2039 * CHOOSE(CONTROL!$C$9, $C$13, 100%, $E$13) + CHOOSE(CONTROL!$C$28, 0, 0)</f>
        <v>49.203899999999997</v>
      </c>
      <c r="E523" s="4">
        <f>228.331157314576 * CHOOSE(CONTROL!$C$9, $C$13, 100%, $E$13) + CHOOSE(CONTROL!$C$28, 0, 0)</f>
        <v>228.33115731457599</v>
      </c>
    </row>
    <row r="524" spans="1:5" ht="15">
      <c r="A524" s="13">
        <v>57465</v>
      </c>
      <c r="B524" s="4">
        <f>35.967 * CHOOSE(CONTROL!$C$9, $C$13, 100%, $E$13) + CHOOSE(CONTROL!$C$28, 0.0003, 0)</f>
        <v>35.967300000000002</v>
      </c>
      <c r="C524" s="4">
        <f>35.6037 * CHOOSE(CONTROL!$C$9, $C$13, 100%, $E$13) + CHOOSE(CONTROL!$C$28, 0.0003, 0)</f>
        <v>35.604000000000006</v>
      </c>
      <c r="D524" s="4">
        <f>50.5858 * CHOOSE(CONTROL!$C$9, $C$13, 100%, $E$13) + CHOOSE(CONTROL!$C$28, 0, 0)</f>
        <v>50.585799999999999</v>
      </c>
      <c r="E524" s="4">
        <f>237.644920447314 * CHOOSE(CONTROL!$C$9, $C$13, 100%, $E$13) + CHOOSE(CONTROL!$C$28, 0, 0)</f>
        <v>237.64492044731401</v>
      </c>
    </row>
    <row r="525" spans="1:5" ht="15">
      <c r="A525" s="13">
        <v>57496</v>
      </c>
      <c r="B525" s="4">
        <f>36.8097 * CHOOSE(CONTROL!$C$9, $C$13, 100%, $E$13) + CHOOSE(CONTROL!$C$28, 0.013, 0)</f>
        <v>36.822699999999998</v>
      </c>
      <c r="C525" s="4">
        <f>36.4464 * CHOOSE(CONTROL!$C$9, $C$13, 100%, $E$13) + CHOOSE(CONTROL!$C$28, 0.013, 0)</f>
        <v>36.459399999999995</v>
      </c>
      <c r="D525" s="4">
        <f>50.0398 * CHOOSE(CONTROL!$C$9, $C$13, 100%, $E$13) + CHOOSE(CONTROL!$C$28, 0, 0)</f>
        <v>50.0398</v>
      </c>
      <c r="E525" s="4">
        <f>243.335406501669 * CHOOSE(CONTROL!$C$9, $C$13, 100%, $E$13) + CHOOSE(CONTROL!$C$28, 0, 0)</f>
        <v>243.33540650166901</v>
      </c>
    </row>
    <row r="526" spans="1:5" ht="15">
      <c r="A526" s="13">
        <v>57526</v>
      </c>
      <c r="B526" s="4">
        <f>36.9237 * CHOOSE(CONTROL!$C$9, $C$13, 100%, $E$13) + CHOOSE(CONTROL!$C$28, 0.013, 0)</f>
        <v>36.936699999999995</v>
      </c>
      <c r="C526" s="4">
        <f>36.5604 * CHOOSE(CONTROL!$C$9, $C$13, 100%, $E$13) + CHOOSE(CONTROL!$C$28, 0.013, 0)</f>
        <v>36.573399999999999</v>
      </c>
      <c r="D526" s="4">
        <f>50.4845 * CHOOSE(CONTROL!$C$9, $C$13, 100%, $E$13) + CHOOSE(CONTROL!$C$28, 0, 0)</f>
        <v>50.484499999999997</v>
      </c>
      <c r="E526" s="4">
        <f>244.105352880825 * CHOOSE(CONTROL!$C$9, $C$13, 100%, $E$13) + CHOOSE(CONTROL!$C$28, 0, 0)</f>
        <v>244.105352880825</v>
      </c>
    </row>
    <row r="527" spans="1:5" ht="15">
      <c r="A527" s="13">
        <v>57557</v>
      </c>
      <c r="B527" s="4">
        <f>36.9122 * CHOOSE(CONTROL!$C$9, $C$13, 100%, $E$13) + CHOOSE(CONTROL!$C$28, 0.013, 0)</f>
        <v>36.925199999999997</v>
      </c>
      <c r="C527" s="4">
        <f>36.549 * CHOOSE(CONTROL!$C$9, $C$13, 100%, $E$13) + CHOOSE(CONTROL!$C$28, 0.013, 0)</f>
        <v>36.561999999999998</v>
      </c>
      <c r="D527" s="4">
        <f>51.2869 * CHOOSE(CONTROL!$C$9, $C$13, 100%, $E$13) + CHOOSE(CONTROL!$C$28, 0, 0)</f>
        <v>51.286900000000003</v>
      </c>
      <c r="E527" s="4">
        <f>244.027711229146 * CHOOSE(CONTROL!$C$9, $C$13, 100%, $E$13) + CHOOSE(CONTROL!$C$28, 0, 0)</f>
        <v>244.02771122914601</v>
      </c>
    </row>
    <row r="528" spans="1:5" ht="15">
      <c r="A528" s="13">
        <v>57588</v>
      </c>
      <c r="B528" s="4">
        <f>37.7775 * CHOOSE(CONTROL!$C$9, $C$13, 100%, $E$13) + CHOOSE(CONTROL!$C$28, 0.013, 0)</f>
        <v>37.790500000000002</v>
      </c>
      <c r="C528" s="4">
        <f>37.4142 * CHOOSE(CONTROL!$C$9, $C$13, 100%, $E$13) + CHOOSE(CONTROL!$C$28, 0.013, 0)</f>
        <v>37.427199999999999</v>
      </c>
      <c r="D528" s="4">
        <f>50.757 * CHOOSE(CONTROL!$C$9, $C$13, 100%, $E$13) + CHOOSE(CONTROL!$C$28, 0, 0)</f>
        <v>50.756999999999998</v>
      </c>
      <c r="E528" s="4">
        <f>249.870245518039 * CHOOSE(CONTROL!$C$9, $C$13, 100%, $E$13) + CHOOSE(CONTROL!$C$28, 0, 0)</f>
        <v>249.87024551803901</v>
      </c>
    </row>
    <row r="529" spans="1:5" ht="15">
      <c r="A529" s="13">
        <v>57618</v>
      </c>
      <c r="B529" s="4">
        <f>36.3028 * CHOOSE(CONTROL!$C$9, $C$13, 100%, $E$13) + CHOOSE(CONTROL!$C$28, 0.013, 0)</f>
        <v>36.315799999999996</v>
      </c>
      <c r="C529" s="4">
        <f>35.9395 * CHOOSE(CONTROL!$C$9, $C$13, 100%, $E$13) + CHOOSE(CONTROL!$C$28, 0.013, 0)</f>
        <v>35.952500000000001</v>
      </c>
      <c r="D529" s="4">
        <f>50.5066 * CHOOSE(CONTROL!$C$9, $C$13, 100%, $E$13) + CHOOSE(CONTROL!$C$28, 0, 0)</f>
        <v>50.506599999999999</v>
      </c>
      <c r="E529" s="4">
        <f>239.912703690124 * CHOOSE(CONTROL!$C$9, $C$13, 100%, $E$13) + CHOOSE(CONTROL!$C$28, 0, 0)</f>
        <v>239.912703690124</v>
      </c>
    </row>
    <row r="530" spans="1:5" ht="15">
      <c r="A530" s="13">
        <v>57649</v>
      </c>
      <c r="B530" s="4">
        <f>35.1223 * CHOOSE(CONTROL!$C$9, $C$13, 100%, $E$13) + CHOOSE(CONTROL!$C$28, 0.0003, 0)</f>
        <v>35.122600000000006</v>
      </c>
      <c r="C530" s="4">
        <f>34.7591 * CHOOSE(CONTROL!$C$9, $C$13, 100%, $E$13) + CHOOSE(CONTROL!$C$28, 0.0003, 0)</f>
        <v>34.759399999999999</v>
      </c>
      <c r="D530" s="4">
        <f>49.8362 * CHOOSE(CONTROL!$C$9, $C$13, 100%, $E$13) + CHOOSE(CONTROL!$C$28, 0, 0)</f>
        <v>49.836199999999998</v>
      </c>
      <c r="E530" s="4">
        <f>231.94149411768 * CHOOSE(CONTROL!$C$9, $C$13, 100%, $E$13) + CHOOSE(CONTROL!$C$28, 0, 0)</f>
        <v>231.94149411768001</v>
      </c>
    </row>
    <row r="531" spans="1:5" ht="15">
      <c r="A531" s="13">
        <v>57679</v>
      </c>
      <c r="B531" s="4">
        <f>34.362 * CHOOSE(CONTROL!$C$9, $C$13, 100%, $E$13) + CHOOSE(CONTROL!$C$28, 0.0003, 0)</f>
        <v>34.362300000000005</v>
      </c>
      <c r="C531" s="4">
        <f>33.9988 * CHOOSE(CONTROL!$C$9, $C$13, 100%, $E$13) + CHOOSE(CONTROL!$C$28, 0.0003, 0)</f>
        <v>33.999100000000006</v>
      </c>
      <c r="D531" s="4">
        <f>49.6057 * CHOOSE(CONTROL!$C$9, $C$13, 100%, $E$13) + CHOOSE(CONTROL!$C$28, 0, 0)</f>
        <v>49.605699999999999</v>
      </c>
      <c r="E531" s="4">
        <f>226.807439900363 * CHOOSE(CONTROL!$C$9, $C$13, 100%, $E$13) + CHOOSE(CONTROL!$C$28, 0, 0)</f>
        <v>226.80743990036299</v>
      </c>
    </row>
    <row r="532" spans="1:5" ht="15">
      <c r="A532" s="13">
        <v>57710</v>
      </c>
      <c r="B532" s="4">
        <f>33.836 * CHOOSE(CONTROL!$C$9, $C$13, 100%, $E$13) + CHOOSE(CONTROL!$C$28, 0.0003, 0)</f>
        <v>33.836300000000001</v>
      </c>
      <c r="C532" s="4">
        <f>33.4727 * CHOOSE(CONTROL!$C$9, $C$13, 100%, $E$13) + CHOOSE(CONTROL!$C$28, 0.0003, 0)</f>
        <v>33.473000000000006</v>
      </c>
      <c r="D532" s="4">
        <f>47.9089 * CHOOSE(CONTROL!$C$9, $C$13, 100%, $E$13) + CHOOSE(CONTROL!$C$28, 0, 0)</f>
        <v>47.908900000000003</v>
      </c>
      <c r="E532" s="4">
        <f>223.255334336019 * CHOOSE(CONTROL!$C$9, $C$13, 100%, $E$13) + CHOOSE(CONTROL!$C$28, 0, 0)</f>
        <v>223.25533433601899</v>
      </c>
    </row>
    <row r="533" spans="1:5" ht="15">
      <c r="A533" s="13">
        <v>57741</v>
      </c>
      <c r="B533" s="4">
        <f>32.3967 * CHOOSE(CONTROL!$C$9, $C$13, 100%, $E$13) + CHOOSE(CONTROL!$C$28, 0.0003, 0)</f>
        <v>32.397000000000006</v>
      </c>
      <c r="C533" s="4">
        <f>32.0335 * CHOOSE(CONTROL!$C$9, $C$13, 100%, $E$13) + CHOOSE(CONTROL!$C$28, 0.0003, 0)</f>
        <v>32.033799999999999</v>
      </c>
      <c r="D533" s="4">
        <f>46.0396 * CHOOSE(CONTROL!$C$9, $C$13, 100%, $E$13) + CHOOSE(CONTROL!$C$28, 0, 0)</f>
        <v>46.0396</v>
      </c>
      <c r="E533" s="4">
        <f>213.955842482939 * CHOOSE(CONTROL!$C$9, $C$13, 100%, $E$13) + CHOOSE(CONTROL!$C$28, 0, 0)</f>
        <v>213.955842482939</v>
      </c>
    </row>
    <row r="534" spans="1:5" ht="15">
      <c r="A534" s="13">
        <v>57769</v>
      </c>
      <c r="B534" s="4">
        <f>33.1476 * CHOOSE(CONTROL!$C$9, $C$13, 100%, $E$13) + CHOOSE(CONTROL!$C$28, 0.0003, 0)</f>
        <v>33.1479</v>
      </c>
      <c r="C534" s="4">
        <f>32.7843 * CHOOSE(CONTROL!$C$9, $C$13, 100%, $E$13) + CHOOSE(CONTROL!$C$28, 0.0003, 0)</f>
        <v>32.784600000000005</v>
      </c>
      <c r="D534" s="4">
        <f>47.5992 * CHOOSE(CONTROL!$C$9, $C$13, 100%, $E$13) + CHOOSE(CONTROL!$C$28, 0, 0)</f>
        <v>47.599200000000003</v>
      </c>
      <c r="E534" s="4">
        <f>219.035997364083 * CHOOSE(CONTROL!$C$9, $C$13, 100%, $E$13) + CHOOSE(CONTROL!$C$28, 0, 0)</f>
        <v>219.03599736408299</v>
      </c>
    </row>
    <row r="535" spans="1:5" ht="15">
      <c r="A535" s="13">
        <v>57800</v>
      </c>
      <c r="B535" s="4">
        <f>35.1194 * CHOOSE(CONTROL!$C$9, $C$13, 100%, $E$13) + CHOOSE(CONTROL!$C$28, 0.0003, 0)</f>
        <v>35.119700000000002</v>
      </c>
      <c r="C535" s="4">
        <f>34.7561 * CHOOSE(CONTROL!$C$9, $C$13, 100%, $E$13) + CHOOSE(CONTROL!$C$28, 0.0003, 0)</f>
        <v>34.756400000000006</v>
      </c>
      <c r="D535" s="4">
        <f>50.0406 * CHOOSE(CONTROL!$C$9, $C$13, 100%, $E$13) + CHOOSE(CONTROL!$C$28, 0, 0)</f>
        <v>50.040599999999998</v>
      </c>
      <c r="E535" s="4">
        <f>232.376754057795 * CHOOSE(CONTROL!$C$9, $C$13, 100%, $E$13) + CHOOSE(CONTROL!$C$28, 0, 0)</f>
        <v>232.37675405779501</v>
      </c>
    </row>
    <row r="536" spans="1:5" ht="15">
      <c r="A536" s="13">
        <v>57830</v>
      </c>
      <c r="B536" s="4">
        <f>36.5204 * CHOOSE(CONTROL!$C$9, $C$13, 100%, $E$13) + CHOOSE(CONTROL!$C$28, 0.0003, 0)</f>
        <v>36.520700000000005</v>
      </c>
      <c r="C536" s="4">
        <f>36.1571 * CHOOSE(CONTROL!$C$9, $C$13, 100%, $E$13) + CHOOSE(CONTROL!$C$28, 0.0003, 0)</f>
        <v>36.157400000000003</v>
      </c>
      <c r="D536" s="4">
        <f>51.4469 * CHOOSE(CONTROL!$C$9, $C$13, 100%, $E$13) + CHOOSE(CONTROL!$C$28, 0, 0)</f>
        <v>51.446899999999999</v>
      </c>
      <c r="E536" s="4">
        <f>241.855539477636 * CHOOSE(CONTROL!$C$9, $C$13, 100%, $E$13) + CHOOSE(CONTROL!$C$28, 0, 0)</f>
        <v>241.855539477636</v>
      </c>
    </row>
    <row r="537" spans="1:5" ht="15">
      <c r="A537" s="13">
        <v>57861</v>
      </c>
      <c r="B537" s="4">
        <f>37.3764 * CHOOSE(CONTROL!$C$9, $C$13, 100%, $E$13) + CHOOSE(CONTROL!$C$28, 0.013, 0)</f>
        <v>37.389399999999995</v>
      </c>
      <c r="C537" s="4">
        <f>37.0131 * CHOOSE(CONTROL!$C$9, $C$13, 100%, $E$13) + CHOOSE(CONTROL!$C$28, 0.013, 0)</f>
        <v>37.0261</v>
      </c>
      <c r="D537" s="4">
        <f>50.8912 * CHOOSE(CONTROL!$C$9, $C$13, 100%, $E$13) + CHOOSE(CONTROL!$C$28, 0, 0)</f>
        <v>50.891199999999998</v>
      </c>
      <c r="E537" s="4">
        <f>247.646850194378 * CHOOSE(CONTROL!$C$9, $C$13, 100%, $E$13) + CHOOSE(CONTROL!$C$28, 0, 0)</f>
        <v>247.646850194378</v>
      </c>
    </row>
    <row r="538" spans="1:5" ht="15">
      <c r="A538" s="13">
        <v>57891</v>
      </c>
      <c r="B538" s="4">
        <f>37.4922 * CHOOSE(CONTROL!$C$9, $C$13, 100%, $E$13) + CHOOSE(CONTROL!$C$28, 0.013, 0)</f>
        <v>37.505199999999995</v>
      </c>
      <c r="C538" s="4">
        <f>37.1289 * CHOOSE(CONTROL!$C$9, $C$13, 100%, $E$13) + CHOOSE(CONTROL!$C$28, 0.013, 0)</f>
        <v>37.1419</v>
      </c>
      <c r="D538" s="4">
        <f>51.3438 * CHOOSE(CONTROL!$C$9, $C$13, 100%, $E$13) + CHOOSE(CONTROL!$C$28, 0, 0)</f>
        <v>51.343800000000002</v>
      </c>
      <c r="E538" s="4">
        <f>248.430438568787 * CHOOSE(CONTROL!$C$9, $C$13, 100%, $E$13) + CHOOSE(CONTROL!$C$28, 0, 0)</f>
        <v>248.430438568787</v>
      </c>
    </row>
    <row r="539" spans="1:5" ht="15">
      <c r="A539" s="13">
        <v>57922</v>
      </c>
      <c r="B539" s="4">
        <f>37.4805 * CHOOSE(CONTROL!$C$9, $C$13, 100%, $E$13) + CHOOSE(CONTROL!$C$28, 0.013, 0)</f>
        <v>37.493499999999997</v>
      </c>
      <c r="C539" s="4">
        <f>37.1172 * CHOOSE(CONTROL!$C$9, $C$13, 100%, $E$13) + CHOOSE(CONTROL!$C$28, 0.013, 0)</f>
        <v>37.130199999999995</v>
      </c>
      <c r="D539" s="4">
        <f>52.1604 * CHOOSE(CONTROL!$C$9, $C$13, 100%, $E$13) + CHOOSE(CONTROL!$C$28, 0, 0)</f>
        <v>52.160400000000003</v>
      </c>
      <c r="E539" s="4">
        <f>248.35142125372 * CHOOSE(CONTROL!$C$9, $C$13, 100%, $E$13) + CHOOSE(CONTROL!$C$28, 0, 0)</f>
        <v>248.35142125371999</v>
      </c>
    </row>
    <row r="540" spans="1:5" ht="15">
      <c r="A540" s="13">
        <v>57953</v>
      </c>
      <c r="B540" s="4">
        <f>38.3594 * CHOOSE(CONTROL!$C$9, $C$13, 100%, $E$13) + CHOOSE(CONTROL!$C$28, 0.013, 0)</f>
        <v>38.372399999999999</v>
      </c>
      <c r="C540" s="4">
        <f>37.9961 * CHOOSE(CONTROL!$C$9, $C$13, 100%, $E$13) + CHOOSE(CONTROL!$C$28, 0.013, 0)</f>
        <v>38.009099999999997</v>
      </c>
      <c r="D540" s="4">
        <f>51.6211 * CHOOSE(CONTROL!$C$9, $C$13, 100%, $E$13) + CHOOSE(CONTROL!$C$28, 0, 0)</f>
        <v>51.621099999999998</v>
      </c>
      <c r="E540" s="4">
        <f>254.297474212468 * CHOOSE(CONTROL!$C$9, $C$13, 100%, $E$13) + CHOOSE(CONTROL!$C$28, 0, 0)</f>
        <v>254.29747421246799</v>
      </c>
    </row>
    <row r="541" spans="1:5" ht="15">
      <c r="A541" s="13">
        <v>57983</v>
      </c>
      <c r="B541" s="4">
        <f>36.8615 * CHOOSE(CONTROL!$C$9, $C$13, 100%, $E$13) + CHOOSE(CONTROL!$C$28, 0.013, 0)</f>
        <v>36.874499999999998</v>
      </c>
      <c r="C541" s="4">
        <f>36.4982 * CHOOSE(CONTROL!$C$9, $C$13, 100%, $E$13) + CHOOSE(CONTROL!$C$28, 0.013, 0)</f>
        <v>36.511199999999995</v>
      </c>
      <c r="D541" s="4">
        <f>51.3663 * CHOOSE(CONTROL!$C$9, $C$13, 100%, $E$13) + CHOOSE(CONTROL!$C$28, 0, 0)</f>
        <v>51.366300000000003</v>
      </c>
      <c r="E541" s="4">
        <f>244.163503555201 * CHOOSE(CONTROL!$C$9, $C$13, 100%, $E$13) + CHOOSE(CONTROL!$C$28, 0, 0)</f>
        <v>244.163503555201</v>
      </c>
    </row>
    <row r="542" spans="1:5" ht="15">
      <c r="A542" s="13">
        <v>58014</v>
      </c>
      <c r="B542" s="4">
        <f>35.6625 * CHOOSE(CONTROL!$C$9, $C$13, 100%, $E$13) + CHOOSE(CONTROL!$C$28, 0.0003, 0)</f>
        <v>35.662800000000004</v>
      </c>
      <c r="C542" s="4">
        <f>35.2992 * CHOOSE(CONTROL!$C$9, $C$13, 100%, $E$13) + CHOOSE(CONTROL!$C$28, 0.0003, 0)</f>
        <v>35.299500000000002</v>
      </c>
      <c r="D542" s="4">
        <f>50.684 * CHOOSE(CONTROL!$C$9, $C$13, 100%, $E$13) + CHOOSE(CONTROL!$C$28, 0, 0)</f>
        <v>50.683999999999997</v>
      </c>
      <c r="E542" s="4">
        <f>236.051059208383 * CHOOSE(CONTROL!$C$9, $C$13, 100%, $E$13) + CHOOSE(CONTROL!$C$28, 0, 0)</f>
        <v>236.05105920838301</v>
      </c>
    </row>
    <row r="543" spans="1:5" ht="15">
      <c r="A543" s="13">
        <v>58044</v>
      </c>
      <c r="B543" s="4">
        <f>34.8902 * CHOOSE(CONTROL!$C$9, $C$13, 100%, $E$13) + CHOOSE(CONTROL!$C$28, 0.0003, 0)</f>
        <v>34.890500000000003</v>
      </c>
      <c r="C543" s="4">
        <f>34.5269 * CHOOSE(CONTROL!$C$9, $C$13, 100%, $E$13) + CHOOSE(CONTROL!$C$28, 0.0003, 0)</f>
        <v>34.527200000000001</v>
      </c>
      <c r="D543" s="4">
        <f>50.4495 * CHOOSE(CONTROL!$C$9, $C$13, 100%, $E$13) + CHOOSE(CONTROL!$C$28, 0, 0)</f>
        <v>50.4495</v>
      </c>
      <c r="E543" s="4">
        <f>230.826039249617 * CHOOSE(CONTROL!$C$9, $C$13, 100%, $E$13) + CHOOSE(CONTROL!$C$28, 0, 0)</f>
        <v>230.826039249617</v>
      </c>
    </row>
    <row r="544" spans="1:5" ht="15">
      <c r="A544" s="13">
        <v>58075</v>
      </c>
      <c r="B544" s="4">
        <f>34.3559 * CHOOSE(CONTROL!$C$9, $C$13, 100%, $E$13) + CHOOSE(CONTROL!$C$28, 0.0003, 0)</f>
        <v>34.356200000000001</v>
      </c>
      <c r="C544" s="4">
        <f>33.9926 * CHOOSE(CONTROL!$C$9, $C$13, 100%, $E$13) + CHOOSE(CONTROL!$C$28, 0.0003, 0)</f>
        <v>33.992900000000006</v>
      </c>
      <c r="D544" s="4">
        <f>48.7226 * CHOOSE(CONTROL!$C$9, $C$13, 100%, $E$13) + CHOOSE(CONTROL!$C$28, 0, 0)</f>
        <v>48.7226</v>
      </c>
      <c r="E544" s="4">
        <f>227.210997085329 * CHOOSE(CONTROL!$C$9, $C$13, 100%, $E$13) + CHOOSE(CONTROL!$C$28, 0, 0)</f>
        <v>227.21099708532901</v>
      </c>
    </row>
    <row r="545" spans="1:5" ht="15">
      <c r="A545" s="13">
        <v>58106</v>
      </c>
      <c r="B545" s="4">
        <f>32.894 * CHOOSE(CONTROL!$C$9, $C$13, 100%, $E$13) + CHOOSE(CONTROL!$C$28, 0.0003, 0)</f>
        <v>32.894300000000001</v>
      </c>
      <c r="C545" s="4">
        <f>32.5307 * CHOOSE(CONTROL!$C$9, $C$13, 100%, $E$13) + CHOOSE(CONTROL!$C$28, 0.0003, 0)</f>
        <v>32.531000000000006</v>
      </c>
      <c r="D545" s="4">
        <f>46.8204 * CHOOSE(CONTROL!$C$9, $C$13, 100%, $E$13) + CHOOSE(CONTROL!$C$28, 0, 0)</f>
        <v>46.820399999999999</v>
      </c>
      <c r="E545" s="4">
        <f>217.746735805259 * CHOOSE(CONTROL!$C$9, $C$13, 100%, $E$13) + CHOOSE(CONTROL!$C$28, 0, 0)</f>
        <v>217.74673580525899</v>
      </c>
    </row>
    <row r="546" spans="1:5" ht="15">
      <c r="A546" s="13">
        <v>58134</v>
      </c>
      <c r="B546" s="4">
        <f>33.6567 * CHOOSE(CONTROL!$C$9, $C$13, 100%, $E$13) + CHOOSE(CONTROL!$C$28, 0.0003, 0)</f>
        <v>33.657000000000004</v>
      </c>
      <c r="C546" s="4">
        <f>33.2934 * CHOOSE(CONTROL!$C$9, $C$13, 100%, $E$13) + CHOOSE(CONTROL!$C$28, 0.0003, 0)</f>
        <v>33.293700000000001</v>
      </c>
      <c r="D546" s="4">
        <f>48.4075 * CHOOSE(CONTROL!$C$9, $C$13, 100%, $E$13) + CHOOSE(CONTROL!$C$28, 0, 0)</f>
        <v>48.407499999999999</v>
      </c>
      <c r="E546" s="4">
        <f>222.916901433443 * CHOOSE(CONTROL!$C$9, $C$13, 100%, $E$13) + CHOOSE(CONTROL!$C$28, 0, 0)</f>
        <v>222.916901433443</v>
      </c>
    </row>
    <row r="547" spans="1:5" ht="15">
      <c r="A547" s="13">
        <v>58165</v>
      </c>
      <c r="B547" s="4">
        <f>35.6595 * CHOOSE(CONTROL!$C$9, $C$13, 100%, $E$13) + CHOOSE(CONTROL!$C$28, 0.0003, 0)</f>
        <v>35.659800000000004</v>
      </c>
      <c r="C547" s="4">
        <f>35.2962 * CHOOSE(CONTROL!$C$9, $C$13, 100%, $E$13) + CHOOSE(CONTROL!$C$28, 0.0003, 0)</f>
        <v>35.296500000000002</v>
      </c>
      <c r="D547" s="4">
        <f>50.892 * CHOOSE(CONTROL!$C$9, $C$13, 100%, $E$13) + CHOOSE(CONTROL!$C$28, 0, 0)</f>
        <v>50.892000000000003</v>
      </c>
      <c r="E547" s="4">
        <f>236.494031132342 * CHOOSE(CONTROL!$C$9, $C$13, 100%, $E$13) + CHOOSE(CONTROL!$C$28, 0, 0)</f>
        <v>236.494031132342</v>
      </c>
    </row>
    <row r="548" spans="1:5" ht="15">
      <c r="A548" s="13">
        <v>58195</v>
      </c>
      <c r="B548" s="4">
        <f>37.0825 * CHOOSE(CONTROL!$C$9, $C$13, 100%, $E$13) + CHOOSE(CONTROL!$C$28, 0.0003, 0)</f>
        <v>37.082800000000006</v>
      </c>
      <c r="C548" s="4">
        <f>36.7192 * CHOOSE(CONTROL!$C$9, $C$13, 100%, $E$13) + CHOOSE(CONTROL!$C$28, 0.0003, 0)</f>
        <v>36.719500000000004</v>
      </c>
      <c r="D548" s="4">
        <f>52.3231 * CHOOSE(CONTROL!$C$9, $C$13, 100%, $E$13) + CHOOSE(CONTROL!$C$28, 0, 0)</f>
        <v>52.323099999999997</v>
      </c>
      <c r="E548" s="4">
        <f>246.140762722452 * CHOOSE(CONTROL!$C$9, $C$13, 100%, $E$13) + CHOOSE(CONTROL!$C$28, 0, 0)</f>
        <v>246.140762722452</v>
      </c>
    </row>
    <row r="549" spans="1:5" ht="15">
      <c r="A549" s="13">
        <v>58226</v>
      </c>
      <c r="B549" s="4">
        <f>37.952 * CHOOSE(CONTROL!$C$9, $C$13, 100%, $E$13) + CHOOSE(CONTROL!$C$28, 0.013, 0)</f>
        <v>37.964999999999996</v>
      </c>
      <c r="C549" s="4">
        <f>37.5887 * CHOOSE(CONTROL!$C$9, $C$13, 100%, $E$13) + CHOOSE(CONTROL!$C$28, 0.013, 0)</f>
        <v>37.601700000000001</v>
      </c>
      <c r="D549" s="4">
        <f>51.7576 * CHOOSE(CONTROL!$C$9, $C$13, 100%, $E$13) + CHOOSE(CONTROL!$C$28, 0, 0)</f>
        <v>51.757599999999996</v>
      </c>
      <c r="E549" s="4">
        <f>252.034684524121 * CHOOSE(CONTROL!$C$9, $C$13, 100%, $E$13) + CHOOSE(CONTROL!$C$28, 0, 0)</f>
        <v>252.03468452412099</v>
      </c>
    </row>
    <row r="550" spans="1:5" ht="15">
      <c r="A550" s="13">
        <v>58256</v>
      </c>
      <c r="B550" s="4">
        <f>38.0696 * CHOOSE(CONTROL!$C$9, $C$13, 100%, $E$13) + CHOOSE(CONTROL!$C$28, 0.013, 0)</f>
        <v>38.082599999999999</v>
      </c>
      <c r="C550" s="4">
        <f>37.7063 * CHOOSE(CONTROL!$C$9, $C$13, 100%, $E$13) + CHOOSE(CONTROL!$C$28, 0.013, 0)</f>
        <v>37.719299999999997</v>
      </c>
      <c r="D550" s="4">
        <f>52.2182 * CHOOSE(CONTROL!$C$9, $C$13, 100%, $E$13) + CHOOSE(CONTROL!$C$28, 0, 0)</f>
        <v>52.218200000000003</v>
      </c>
      <c r="E550" s="4">
        <f>252.832156604165 * CHOOSE(CONTROL!$C$9, $C$13, 100%, $E$13) + CHOOSE(CONTROL!$C$28, 0, 0)</f>
        <v>252.83215660416499</v>
      </c>
    </row>
    <row r="551" spans="1:5" ht="15">
      <c r="A551" s="13">
        <v>58287</v>
      </c>
      <c r="B551" s="4">
        <f>38.0577 * CHOOSE(CONTROL!$C$9, $C$13, 100%, $E$13) + CHOOSE(CONTROL!$C$28, 0.013, 0)</f>
        <v>38.070699999999995</v>
      </c>
      <c r="C551" s="4">
        <f>37.6944 * CHOOSE(CONTROL!$C$9, $C$13, 100%, $E$13) + CHOOSE(CONTROL!$C$28, 0.013, 0)</f>
        <v>37.7074</v>
      </c>
      <c r="D551" s="4">
        <f>53.0492 * CHOOSE(CONTROL!$C$9, $C$13, 100%, $E$13) + CHOOSE(CONTROL!$C$28, 0, 0)</f>
        <v>53.049199999999999</v>
      </c>
      <c r="E551" s="4">
        <f>252.751739251556 * CHOOSE(CONTROL!$C$9, $C$13, 100%, $E$13) + CHOOSE(CONTROL!$C$28, 0, 0)</f>
        <v>252.75173925155599</v>
      </c>
    </row>
    <row r="552" spans="1:5" ht="15">
      <c r="A552" s="13">
        <v>58318</v>
      </c>
      <c r="B552" s="4">
        <f>38.9504 * CHOOSE(CONTROL!$C$9, $C$13, 100%, $E$13) + CHOOSE(CONTROL!$C$28, 0.013, 0)</f>
        <v>38.9634</v>
      </c>
      <c r="C552" s="4">
        <f>38.5871 * CHOOSE(CONTROL!$C$9, $C$13, 100%, $E$13) + CHOOSE(CONTROL!$C$28, 0.013, 0)</f>
        <v>38.600099999999998</v>
      </c>
      <c r="D552" s="4">
        <f>52.5004 * CHOOSE(CONTROL!$C$9, $C$13, 100%, $E$13) + CHOOSE(CONTROL!$C$28, 0, 0)</f>
        <v>52.500399999999999</v>
      </c>
      <c r="E552" s="4">
        <f>258.803145035418 * CHOOSE(CONTROL!$C$9, $C$13, 100%, $E$13) + CHOOSE(CONTROL!$C$28, 0, 0)</f>
        <v>258.80314503541803</v>
      </c>
    </row>
    <row r="553" spans="1:5" ht="15">
      <c r="A553" s="13">
        <v>58348</v>
      </c>
      <c r="B553" s="4">
        <f>37.429 * CHOOSE(CONTROL!$C$9, $C$13, 100%, $E$13) + CHOOSE(CONTROL!$C$28, 0.013, 0)</f>
        <v>37.442</v>
      </c>
      <c r="C553" s="4">
        <f>37.0657 * CHOOSE(CONTROL!$C$9, $C$13, 100%, $E$13) + CHOOSE(CONTROL!$C$28, 0.013, 0)</f>
        <v>37.078699999999998</v>
      </c>
      <c r="D553" s="4">
        <f>52.2411 * CHOOSE(CONTROL!$C$9, $C$13, 100%, $E$13) + CHOOSE(CONTROL!$C$28, 0, 0)</f>
        <v>52.241100000000003</v>
      </c>
      <c r="E553" s="4">
        <f>248.489619563254 * CHOOSE(CONTROL!$C$9, $C$13, 100%, $E$13) + CHOOSE(CONTROL!$C$28, 0, 0)</f>
        <v>248.489619563254</v>
      </c>
    </row>
    <row r="554" spans="1:5" ht="15">
      <c r="A554" s="13">
        <v>58379</v>
      </c>
      <c r="B554" s="4">
        <f>36.2111 * CHOOSE(CONTROL!$C$9, $C$13, 100%, $E$13) + CHOOSE(CONTROL!$C$28, 0.0003, 0)</f>
        <v>36.211400000000005</v>
      </c>
      <c r="C554" s="4">
        <f>35.8478 * CHOOSE(CONTROL!$C$9, $C$13, 100%, $E$13) + CHOOSE(CONTROL!$C$28, 0.0003, 0)</f>
        <v>35.848100000000002</v>
      </c>
      <c r="D554" s="4">
        <f>51.5468 * CHOOSE(CONTROL!$C$9, $C$13, 100%, $E$13) + CHOOSE(CONTROL!$C$28, 0, 0)</f>
        <v>51.546799999999998</v>
      </c>
      <c r="E554" s="4">
        <f>240.233438028682 * CHOOSE(CONTROL!$C$9, $C$13, 100%, $E$13) + CHOOSE(CONTROL!$C$28, 0, 0)</f>
        <v>240.233438028682</v>
      </c>
    </row>
    <row r="555" spans="1:5" ht="15">
      <c r="A555" s="13">
        <v>58409</v>
      </c>
      <c r="B555" s="4">
        <f>35.4267 * CHOOSE(CONTROL!$C$9, $C$13, 100%, $E$13) + CHOOSE(CONTROL!$C$28, 0.0003, 0)</f>
        <v>35.427</v>
      </c>
      <c r="C555" s="4">
        <f>35.0634 * CHOOSE(CONTROL!$C$9, $C$13, 100%, $E$13) + CHOOSE(CONTROL!$C$28, 0.0003, 0)</f>
        <v>35.063700000000004</v>
      </c>
      <c r="D555" s="4">
        <f>51.3081 * CHOOSE(CONTROL!$C$9, $C$13, 100%, $E$13) + CHOOSE(CONTROL!$C$28, 0, 0)</f>
        <v>51.308100000000003</v>
      </c>
      <c r="E555" s="4">
        <f>234.915840587381 * CHOOSE(CONTROL!$C$9, $C$13, 100%, $E$13) + CHOOSE(CONTROL!$C$28, 0, 0)</f>
        <v>234.91584058738101</v>
      </c>
    </row>
    <row r="556" spans="1:5" ht="15">
      <c r="A556" s="13">
        <v>58440</v>
      </c>
      <c r="B556" s="4">
        <f>34.884 * CHOOSE(CONTROL!$C$9, $C$13, 100%, $E$13) + CHOOSE(CONTROL!$C$28, 0.0003, 0)</f>
        <v>34.884300000000003</v>
      </c>
      <c r="C556" s="4">
        <f>34.5207 * CHOOSE(CONTROL!$C$9, $C$13, 100%, $E$13) + CHOOSE(CONTROL!$C$28, 0.0003, 0)</f>
        <v>34.521000000000001</v>
      </c>
      <c r="D556" s="4">
        <f>49.5507 * CHOOSE(CONTROL!$C$9, $C$13, 100%, $E$13) + CHOOSE(CONTROL!$C$28, 0, 0)</f>
        <v>49.550699999999999</v>
      </c>
      <c r="E556" s="4">
        <f>231.236746705498 * CHOOSE(CONTROL!$C$9, $C$13, 100%, $E$13) + CHOOSE(CONTROL!$C$28, 0, 0)</f>
        <v>231.23674670549801</v>
      </c>
    </row>
    <row r="557" spans="1:5" ht="15">
      <c r="A557" s="13">
        <v>58471</v>
      </c>
      <c r="B557" s="4">
        <f>33.3991 * CHOOSE(CONTROL!$C$9, $C$13, 100%, $E$13) + CHOOSE(CONTROL!$C$28, 0.0003, 0)</f>
        <v>33.3994</v>
      </c>
      <c r="C557" s="4">
        <f>33.0358 * CHOOSE(CONTROL!$C$9, $C$13, 100%, $E$13) + CHOOSE(CONTROL!$C$28, 0.0003, 0)</f>
        <v>33.036100000000005</v>
      </c>
      <c r="D557" s="4">
        <f>47.6149 * CHOOSE(CONTROL!$C$9, $C$13, 100%, $E$13) + CHOOSE(CONTROL!$C$28, 0, 0)</f>
        <v>47.614899999999999</v>
      </c>
      <c r="E557" s="4">
        <f>221.604796595477 * CHOOSE(CONTROL!$C$9, $C$13, 100%, $E$13) + CHOOSE(CONTROL!$C$28, 0, 0)</f>
        <v>221.60479659547701</v>
      </c>
    </row>
    <row r="558" spans="1:5" ht="15">
      <c r="A558" s="13">
        <v>58499</v>
      </c>
      <c r="B558" s="4">
        <f>34.1738 * CHOOSE(CONTROL!$C$9, $C$13, 100%, $E$13) + CHOOSE(CONTROL!$C$28, 0.0003, 0)</f>
        <v>34.174100000000003</v>
      </c>
      <c r="C558" s="4">
        <f>33.8105 * CHOOSE(CONTROL!$C$9, $C$13, 100%, $E$13) + CHOOSE(CONTROL!$C$28, 0.0003, 0)</f>
        <v>33.8108</v>
      </c>
      <c r="D558" s="4">
        <f>49.23 * CHOOSE(CONTROL!$C$9, $C$13, 100%, $E$13) + CHOOSE(CONTROL!$C$28, 0, 0)</f>
        <v>49.23</v>
      </c>
      <c r="E558" s="4">
        <f>226.866567791088 * CHOOSE(CONTROL!$C$9, $C$13, 100%, $E$13) + CHOOSE(CONTROL!$C$28, 0, 0)</f>
        <v>226.86656779108799</v>
      </c>
    </row>
    <row r="559" spans="1:5" ht="15">
      <c r="A559" s="13">
        <v>58531</v>
      </c>
      <c r="B559" s="4">
        <f>36.2081 * CHOOSE(CONTROL!$C$9, $C$13, 100%, $E$13) + CHOOSE(CONTROL!$C$28, 0.0003, 0)</f>
        <v>36.208400000000005</v>
      </c>
      <c r="C559" s="4">
        <f>35.8448 * CHOOSE(CONTROL!$C$9, $C$13, 100%, $E$13) + CHOOSE(CONTROL!$C$28, 0.0003, 0)</f>
        <v>35.845100000000002</v>
      </c>
      <c r="D559" s="4">
        <f>51.7584 * CHOOSE(CONTROL!$C$9, $C$13, 100%, $E$13) + CHOOSE(CONTROL!$C$28, 0, 0)</f>
        <v>51.758400000000002</v>
      </c>
      <c r="E559" s="4">
        <f>240.684258578268 * CHOOSE(CONTROL!$C$9, $C$13, 100%, $E$13) + CHOOSE(CONTROL!$C$28, 0, 0)</f>
        <v>240.68425857826799</v>
      </c>
    </row>
    <row r="560" spans="1:5" ht="15">
      <c r="A560" s="13">
        <v>58561</v>
      </c>
      <c r="B560" s="4">
        <f>37.6535 * CHOOSE(CONTROL!$C$9, $C$13, 100%, $E$13) + CHOOSE(CONTROL!$C$28, 0.0003, 0)</f>
        <v>37.653800000000004</v>
      </c>
      <c r="C560" s="4">
        <f>37.2902 * CHOOSE(CONTROL!$C$9, $C$13, 100%, $E$13) + CHOOSE(CONTROL!$C$28, 0.0003, 0)</f>
        <v>37.290500000000002</v>
      </c>
      <c r="D560" s="4">
        <f>53.2149 * CHOOSE(CONTROL!$C$9, $C$13, 100%, $E$13) + CHOOSE(CONTROL!$C$28, 0, 0)</f>
        <v>53.2149</v>
      </c>
      <c r="E560" s="4">
        <f>250.501912027501 * CHOOSE(CONTROL!$C$9, $C$13, 100%, $E$13) + CHOOSE(CONTROL!$C$28, 0, 0)</f>
        <v>250.50191202750099</v>
      </c>
    </row>
    <row r="561" spans="1:5" ht="15">
      <c r="A561" s="13">
        <v>58592</v>
      </c>
      <c r="B561" s="4">
        <f>38.5366 * CHOOSE(CONTROL!$C$9, $C$13, 100%, $E$13) + CHOOSE(CONTROL!$C$28, 0.013, 0)</f>
        <v>38.549599999999998</v>
      </c>
      <c r="C561" s="4">
        <f>38.1733 * CHOOSE(CONTROL!$C$9, $C$13, 100%, $E$13) + CHOOSE(CONTROL!$C$28, 0.013, 0)</f>
        <v>38.186299999999996</v>
      </c>
      <c r="D561" s="4">
        <f>52.6394 * CHOOSE(CONTROL!$C$9, $C$13, 100%, $E$13) + CHOOSE(CONTROL!$C$28, 0, 0)</f>
        <v>52.639400000000002</v>
      </c>
      <c r="E561" s="4">
        <f>256.500262988668 * CHOOSE(CONTROL!$C$9, $C$13, 100%, $E$13) + CHOOSE(CONTROL!$C$28, 0, 0)</f>
        <v>256.500262988668</v>
      </c>
    </row>
    <row r="562" spans="1:5" ht="15">
      <c r="A562" s="13">
        <v>58622</v>
      </c>
      <c r="B562" s="4">
        <f>38.6561 * CHOOSE(CONTROL!$C$9, $C$13, 100%, $E$13) + CHOOSE(CONTROL!$C$28, 0.013, 0)</f>
        <v>38.6691</v>
      </c>
      <c r="C562" s="4">
        <f>38.2928 * CHOOSE(CONTROL!$C$9, $C$13, 100%, $E$13) + CHOOSE(CONTROL!$C$28, 0.013, 0)</f>
        <v>38.305799999999998</v>
      </c>
      <c r="D562" s="4">
        <f>53.1081 * CHOOSE(CONTROL!$C$9, $C$13, 100%, $E$13) + CHOOSE(CONTROL!$C$28, 0, 0)</f>
        <v>53.1081</v>
      </c>
      <c r="E562" s="4">
        <f>257.311864767382 * CHOOSE(CONTROL!$C$9, $C$13, 100%, $E$13) + CHOOSE(CONTROL!$C$28, 0, 0)</f>
        <v>257.31186476738202</v>
      </c>
    </row>
    <row r="563" spans="1:5" ht="15">
      <c r="A563" s="13">
        <v>58653</v>
      </c>
      <c r="B563" s="4">
        <f>38.644 * CHOOSE(CONTROL!$C$9, $C$13, 100%, $E$13) + CHOOSE(CONTROL!$C$28, 0.013, 0)</f>
        <v>38.656999999999996</v>
      </c>
      <c r="C563" s="4">
        <f>38.2807 * CHOOSE(CONTROL!$C$9, $C$13, 100%, $E$13) + CHOOSE(CONTROL!$C$28, 0.013, 0)</f>
        <v>38.293700000000001</v>
      </c>
      <c r="D563" s="4">
        <f>53.9538 * CHOOSE(CONTROL!$C$9, $C$13, 100%, $E$13) + CHOOSE(CONTROL!$C$28, 0, 0)</f>
        <v>53.953800000000001</v>
      </c>
      <c r="E563" s="4">
        <f>257.230022571209 * CHOOSE(CONTROL!$C$9, $C$13, 100%, $E$13) + CHOOSE(CONTROL!$C$28, 0, 0)</f>
        <v>257.23002257120902</v>
      </c>
    </row>
    <row r="564" spans="1:5" ht="15">
      <c r="A564" s="13">
        <v>58684</v>
      </c>
      <c r="B564" s="4">
        <f>39.5507 * CHOOSE(CONTROL!$C$9, $C$13, 100%, $E$13) + CHOOSE(CONTROL!$C$28, 0.013, 0)</f>
        <v>39.563699999999997</v>
      </c>
      <c r="C564" s="4">
        <f>39.1874 * CHOOSE(CONTROL!$C$9, $C$13, 100%, $E$13) + CHOOSE(CONTROL!$C$28, 0.013, 0)</f>
        <v>39.200399999999995</v>
      </c>
      <c r="D564" s="4">
        <f>53.3953 * CHOOSE(CONTROL!$C$9, $C$13, 100%, $E$13) + CHOOSE(CONTROL!$C$28, 0, 0)</f>
        <v>53.395299999999999</v>
      </c>
      <c r="E564" s="4">
        <f>263.388647833214 * CHOOSE(CONTROL!$C$9, $C$13, 100%, $E$13) + CHOOSE(CONTROL!$C$28, 0, 0)</f>
        <v>263.38864783321401</v>
      </c>
    </row>
    <row r="565" spans="1:5" ht="15">
      <c r="A565" s="13">
        <v>58714</v>
      </c>
      <c r="B565" s="4">
        <f>38.0054 * CHOOSE(CONTROL!$C$9, $C$13, 100%, $E$13) + CHOOSE(CONTROL!$C$28, 0.013, 0)</f>
        <v>38.0184</v>
      </c>
      <c r="C565" s="4">
        <f>37.6421 * CHOOSE(CONTROL!$C$9, $C$13, 100%, $E$13) + CHOOSE(CONTROL!$C$28, 0.013, 0)</f>
        <v>37.655099999999997</v>
      </c>
      <c r="D565" s="4">
        <f>53.1314 * CHOOSE(CONTROL!$C$9, $C$13, 100%, $E$13) + CHOOSE(CONTROL!$C$28, 0, 0)</f>
        <v>53.131399999999999</v>
      </c>
      <c r="E565" s="4">
        <f>252.892386174049 * CHOOSE(CONTROL!$C$9, $C$13, 100%, $E$13) + CHOOSE(CONTROL!$C$28, 0, 0)</f>
        <v>252.89238617404899</v>
      </c>
    </row>
    <row r="566" spans="1:5" ht="15">
      <c r="A566" s="13">
        <v>58745</v>
      </c>
      <c r="B566" s="4">
        <f>36.7684 * CHOOSE(CONTROL!$C$9, $C$13, 100%, $E$13) + CHOOSE(CONTROL!$C$28, 0.0003, 0)</f>
        <v>36.768700000000003</v>
      </c>
      <c r="C566" s="4">
        <f>36.4051 * CHOOSE(CONTROL!$C$9, $C$13, 100%, $E$13) + CHOOSE(CONTROL!$C$28, 0.0003, 0)</f>
        <v>36.4054</v>
      </c>
      <c r="D566" s="4">
        <f>52.4248 * CHOOSE(CONTROL!$C$9, $C$13, 100%, $E$13) + CHOOSE(CONTROL!$C$28, 0, 0)</f>
        <v>52.424799999999998</v>
      </c>
      <c r="E566" s="4">
        <f>244.489920700305 * CHOOSE(CONTROL!$C$9, $C$13, 100%, $E$13) + CHOOSE(CONTROL!$C$28, 0, 0)</f>
        <v>244.48992070030499</v>
      </c>
    </row>
    <row r="567" spans="1:5" ht="15">
      <c r="A567" s="13">
        <v>58775</v>
      </c>
      <c r="B567" s="4">
        <f>35.9716 * CHOOSE(CONTROL!$C$9, $C$13, 100%, $E$13) + CHOOSE(CONTROL!$C$28, 0.0003, 0)</f>
        <v>35.971900000000005</v>
      </c>
      <c r="C567" s="4">
        <f>35.6083 * CHOOSE(CONTROL!$C$9, $C$13, 100%, $E$13) + CHOOSE(CONTROL!$C$28, 0.0003, 0)</f>
        <v>35.608600000000003</v>
      </c>
      <c r="D567" s="4">
        <f>52.1819 * CHOOSE(CONTROL!$C$9, $C$13, 100%, $E$13) + CHOOSE(CONTROL!$C$28, 0, 0)</f>
        <v>52.181899999999999</v>
      </c>
      <c r="E567" s="4">
        <f>239.078105478376 * CHOOSE(CONTROL!$C$9, $C$13, 100%, $E$13) + CHOOSE(CONTROL!$C$28, 0, 0)</f>
        <v>239.07810547837599</v>
      </c>
    </row>
    <row r="568" spans="1:5" ht="15">
      <c r="A568" s="13">
        <v>58806</v>
      </c>
      <c r="B568" s="4">
        <f>35.4204 * CHOOSE(CONTROL!$C$9, $C$13, 100%, $E$13) + CHOOSE(CONTROL!$C$28, 0.0003, 0)</f>
        <v>35.420700000000004</v>
      </c>
      <c r="C568" s="4">
        <f>35.0571 * CHOOSE(CONTROL!$C$9, $C$13, 100%, $E$13) + CHOOSE(CONTROL!$C$28, 0.0003, 0)</f>
        <v>35.057400000000001</v>
      </c>
      <c r="D568" s="4">
        <f>50.3935 * CHOOSE(CONTROL!$C$9, $C$13, 100%, $E$13) + CHOOSE(CONTROL!$C$28, 0, 0)</f>
        <v>50.393500000000003</v>
      </c>
      <c r="E568" s="4">
        <f>235.333825003469 * CHOOSE(CONTROL!$C$9, $C$13, 100%, $E$13) + CHOOSE(CONTROL!$C$28, 0, 0)</f>
        <v>235.333825003469</v>
      </c>
    </row>
    <row r="569" spans="1:5" ht="15">
      <c r="A569" s="13">
        <v>58837</v>
      </c>
      <c r="B569" s="4">
        <f>33.9121 * CHOOSE(CONTROL!$C$9, $C$13, 100%, $E$13) + CHOOSE(CONTROL!$C$28, 0.0003, 0)</f>
        <v>33.912400000000005</v>
      </c>
      <c r="C569" s="4">
        <f>33.5489 * CHOOSE(CONTROL!$C$9, $C$13, 100%, $E$13) + CHOOSE(CONTROL!$C$28, 0.0003, 0)</f>
        <v>33.549200000000006</v>
      </c>
      <c r="D569" s="4">
        <f>48.4234 * CHOOSE(CONTROL!$C$9, $C$13, 100%, $E$13) + CHOOSE(CONTROL!$C$28, 0, 0)</f>
        <v>48.423400000000001</v>
      </c>
      <c r="E569" s="4">
        <f>225.531214934229 * CHOOSE(CONTROL!$C$9, $C$13, 100%, $E$13) + CHOOSE(CONTROL!$C$28, 0, 0)</f>
        <v>225.53121493422901</v>
      </c>
    </row>
    <row r="570" spans="1:5" ht="15">
      <c r="A570" s="13">
        <v>58865</v>
      </c>
      <c r="B570" s="4">
        <f>34.699 * CHOOSE(CONTROL!$C$9, $C$13, 100%, $E$13) + CHOOSE(CONTROL!$C$28, 0.0003, 0)</f>
        <v>34.699300000000001</v>
      </c>
      <c r="C570" s="4">
        <f>34.3357 * CHOOSE(CONTROL!$C$9, $C$13, 100%, $E$13) + CHOOSE(CONTROL!$C$28, 0.0003, 0)</f>
        <v>34.336000000000006</v>
      </c>
      <c r="D570" s="4">
        <f>50.0671 * CHOOSE(CONTROL!$C$9, $C$13, 100%, $E$13) + CHOOSE(CONTROL!$C$28, 0, 0)</f>
        <v>50.067100000000003</v>
      </c>
      <c r="E570" s="4">
        <f>230.886214774861 * CHOOSE(CONTROL!$C$9, $C$13, 100%, $E$13) + CHOOSE(CONTROL!$C$28, 0, 0)</f>
        <v>230.886214774861</v>
      </c>
    </row>
    <row r="571" spans="1:5" ht="15">
      <c r="A571" s="13">
        <v>58893</v>
      </c>
      <c r="B571" s="4">
        <f>36.7653 * CHOOSE(CONTROL!$C$9, $C$13, 100%, $E$13) + CHOOSE(CONTROL!$C$28, 0.0003, 0)</f>
        <v>36.765600000000006</v>
      </c>
      <c r="C571" s="4">
        <f>36.402 * CHOOSE(CONTROL!$C$9, $C$13, 100%, $E$13) + CHOOSE(CONTROL!$C$28, 0.0003, 0)</f>
        <v>36.402300000000004</v>
      </c>
      <c r="D571" s="4">
        <f>52.6402 * CHOOSE(CONTROL!$C$9, $C$13, 100%, $E$13) + CHOOSE(CONTROL!$C$28, 0, 0)</f>
        <v>52.6402</v>
      </c>
      <c r="E571" s="4">
        <f>244.948728938337 * CHOOSE(CONTROL!$C$9, $C$13, 100%, $E$13) + CHOOSE(CONTROL!$C$28, 0, 0)</f>
        <v>244.94872893833701</v>
      </c>
    </row>
    <row r="572" spans="1:5" ht="15">
      <c r="A572" s="13">
        <v>58926</v>
      </c>
      <c r="B572" s="4">
        <f>38.2334 * CHOOSE(CONTROL!$C$9, $C$13, 100%, $E$13) + CHOOSE(CONTROL!$C$28, 0.0003, 0)</f>
        <v>38.233700000000006</v>
      </c>
      <c r="C572" s="4">
        <f>37.8701 * CHOOSE(CONTROL!$C$9, $C$13, 100%, $E$13) + CHOOSE(CONTROL!$C$28, 0.0003, 0)</f>
        <v>37.870400000000004</v>
      </c>
      <c r="D572" s="4">
        <f>54.1224 * CHOOSE(CONTROL!$C$9, $C$13, 100%, $E$13) + CHOOSE(CONTROL!$C$28, 0, 0)</f>
        <v>54.122399999999999</v>
      </c>
      <c r="E572" s="4">
        <f>254.940332659129 * CHOOSE(CONTROL!$C$9, $C$13, 100%, $E$13) + CHOOSE(CONTROL!$C$28, 0, 0)</f>
        <v>254.94033265912901</v>
      </c>
    </row>
    <row r="573" spans="1:5" ht="15">
      <c r="A573" s="13">
        <v>58957</v>
      </c>
      <c r="B573" s="4">
        <f>39.1304 * CHOOSE(CONTROL!$C$9, $C$13, 100%, $E$13) + CHOOSE(CONTROL!$C$28, 0.013, 0)</f>
        <v>39.1434</v>
      </c>
      <c r="C573" s="4">
        <f>38.7671 * CHOOSE(CONTROL!$C$9, $C$13, 100%, $E$13) + CHOOSE(CONTROL!$C$28, 0.013, 0)</f>
        <v>38.780099999999997</v>
      </c>
      <c r="D573" s="4">
        <f>53.5367 * CHOOSE(CONTROL!$C$9, $C$13, 100%, $E$13) + CHOOSE(CONTROL!$C$28, 0, 0)</f>
        <v>53.536700000000003</v>
      </c>
      <c r="E573" s="4">
        <f>261.044963067213 * CHOOSE(CONTROL!$C$9, $C$13, 100%, $E$13) + CHOOSE(CONTROL!$C$28, 0, 0)</f>
        <v>261.04496306721302</v>
      </c>
    </row>
    <row r="574" spans="1:5" ht="15">
      <c r="A574" s="13">
        <v>58987</v>
      </c>
      <c r="B574" s="4">
        <f>39.2518 * CHOOSE(CONTROL!$C$9, $C$13, 100%, $E$13) + CHOOSE(CONTROL!$C$28, 0.013, 0)</f>
        <v>39.264800000000001</v>
      </c>
      <c r="C574" s="4">
        <f>38.8885 * CHOOSE(CONTROL!$C$9, $C$13, 100%, $E$13) + CHOOSE(CONTROL!$C$28, 0.013, 0)</f>
        <v>38.901499999999999</v>
      </c>
      <c r="D574" s="4">
        <f>54.0137 * CHOOSE(CONTROL!$C$9, $C$13, 100%, $E$13) + CHOOSE(CONTROL!$C$28, 0, 0)</f>
        <v>54.0137</v>
      </c>
      <c r="E574" s="4">
        <f>261.870944896163 * CHOOSE(CONTROL!$C$9, $C$13, 100%, $E$13) + CHOOSE(CONTROL!$C$28, 0, 0)</f>
        <v>261.870944896163</v>
      </c>
    </row>
    <row r="575" spans="1:5" ht="15">
      <c r="A575" s="13">
        <v>59018</v>
      </c>
      <c r="B575" s="4">
        <f>39.2395 * CHOOSE(CONTROL!$C$9, $C$13, 100%, $E$13) + CHOOSE(CONTROL!$C$28, 0.013, 0)</f>
        <v>39.252499999999998</v>
      </c>
      <c r="C575" s="4">
        <f>38.8763 * CHOOSE(CONTROL!$C$9, $C$13, 100%, $E$13) + CHOOSE(CONTROL!$C$28, 0.013, 0)</f>
        <v>38.889299999999999</v>
      </c>
      <c r="D575" s="4">
        <f>54.8744 * CHOOSE(CONTROL!$C$9, $C$13, 100%, $E$13) + CHOOSE(CONTROL!$C$28, 0, 0)</f>
        <v>54.874400000000001</v>
      </c>
      <c r="E575" s="4">
        <f>261.787652610891 * CHOOSE(CONTROL!$C$9, $C$13, 100%, $E$13) + CHOOSE(CONTROL!$C$28, 0, 0)</f>
        <v>261.78765261089097</v>
      </c>
    </row>
    <row r="576" spans="1:5" ht="15">
      <c r="A576" s="13">
        <v>59049</v>
      </c>
      <c r="B576" s="4">
        <f>40.1605 * CHOOSE(CONTROL!$C$9, $C$13, 100%, $E$13) + CHOOSE(CONTROL!$C$28, 0.013, 0)</f>
        <v>40.173499999999997</v>
      </c>
      <c r="C576" s="4">
        <f>39.7972 * CHOOSE(CONTROL!$C$9, $C$13, 100%, $E$13) + CHOOSE(CONTROL!$C$28, 0.013, 0)</f>
        <v>39.810199999999995</v>
      </c>
      <c r="D576" s="4">
        <f>54.306 * CHOOSE(CONTROL!$C$9, $C$13, 100%, $E$13) + CHOOSE(CONTROL!$C$28, 0, 0)</f>
        <v>54.305999999999997</v>
      </c>
      <c r="E576" s="4">
        <f>268.055397077632 * CHOOSE(CONTROL!$C$9, $C$13, 100%, $E$13) + CHOOSE(CONTROL!$C$28, 0, 0)</f>
        <v>268.05539707763199</v>
      </c>
    </row>
    <row r="577" spans="1:5" ht="15">
      <c r="A577" s="13">
        <v>59079</v>
      </c>
      <c r="B577" s="4">
        <f>38.5909 * CHOOSE(CONTROL!$C$9, $C$13, 100%, $E$13) + CHOOSE(CONTROL!$C$28, 0.013, 0)</f>
        <v>38.603899999999996</v>
      </c>
      <c r="C577" s="4">
        <f>38.2276 * CHOOSE(CONTROL!$C$9, $C$13, 100%, $E$13) + CHOOSE(CONTROL!$C$28, 0.013, 0)</f>
        <v>38.240600000000001</v>
      </c>
      <c r="D577" s="4">
        <f>54.0374 * CHOOSE(CONTROL!$C$9, $C$13, 100%, $E$13) + CHOOSE(CONTROL!$C$28, 0, 0)</f>
        <v>54.037399999999998</v>
      </c>
      <c r="E577" s="4">
        <f>257.373161491458 * CHOOSE(CONTROL!$C$9, $C$13, 100%, $E$13) + CHOOSE(CONTROL!$C$28, 0, 0)</f>
        <v>257.37316149145801</v>
      </c>
    </row>
    <row r="578" spans="1:5" ht="15">
      <c r="A578" s="13">
        <v>59110</v>
      </c>
      <c r="B578" s="4">
        <f>37.3344 * CHOOSE(CONTROL!$C$9, $C$13, 100%, $E$13) + CHOOSE(CONTROL!$C$28, 0.0003, 0)</f>
        <v>37.334700000000005</v>
      </c>
      <c r="C578" s="4">
        <f>36.9711 * CHOOSE(CONTROL!$C$9, $C$13, 100%, $E$13) + CHOOSE(CONTROL!$C$28, 0.0003, 0)</f>
        <v>36.971400000000003</v>
      </c>
      <c r="D578" s="4">
        <f>53.3184 * CHOOSE(CONTROL!$C$9, $C$13, 100%, $E$13) + CHOOSE(CONTROL!$C$28, 0, 0)</f>
        <v>53.318399999999997</v>
      </c>
      <c r="E578" s="4">
        <f>248.8218202035 * CHOOSE(CONTROL!$C$9, $C$13, 100%, $E$13) + CHOOSE(CONTROL!$C$28, 0, 0)</f>
        <v>248.82182020350001</v>
      </c>
    </row>
    <row r="579" spans="1:5" ht="15">
      <c r="A579" s="13">
        <v>59140</v>
      </c>
      <c r="B579" s="4">
        <f>36.5251 * CHOOSE(CONTROL!$C$9, $C$13, 100%, $E$13) + CHOOSE(CONTROL!$C$28, 0.0003, 0)</f>
        <v>36.525400000000005</v>
      </c>
      <c r="C579" s="4">
        <f>36.1618 * CHOOSE(CONTROL!$C$9, $C$13, 100%, $E$13) + CHOOSE(CONTROL!$C$28, 0.0003, 0)</f>
        <v>36.162100000000002</v>
      </c>
      <c r="D579" s="4">
        <f>53.0711 * CHOOSE(CONTROL!$C$9, $C$13, 100%, $E$13) + CHOOSE(CONTROL!$C$28, 0, 0)</f>
        <v>53.071100000000001</v>
      </c>
      <c r="E579" s="4">
        <f>243.314117839868 * CHOOSE(CONTROL!$C$9, $C$13, 100%, $E$13) + CHOOSE(CONTROL!$C$28, 0, 0)</f>
        <v>243.314117839868</v>
      </c>
    </row>
    <row r="580" spans="1:5" ht="15">
      <c r="A580" s="13">
        <v>59171</v>
      </c>
      <c r="B580" s="4">
        <f>35.9652 * CHOOSE(CONTROL!$C$9, $C$13, 100%, $E$13) + CHOOSE(CONTROL!$C$28, 0.0003, 0)</f>
        <v>35.965500000000006</v>
      </c>
      <c r="C580" s="4">
        <f>35.6019 * CHOOSE(CONTROL!$C$9, $C$13, 100%, $E$13) + CHOOSE(CONTROL!$C$28, 0.0003, 0)</f>
        <v>35.602200000000003</v>
      </c>
      <c r="D580" s="4">
        <f>51.2511 * CHOOSE(CONTROL!$C$9, $C$13, 100%, $E$13) + CHOOSE(CONTROL!$C$28, 0, 0)</f>
        <v>51.251100000000001</v>
      </c>
      <c r="E580" s="4">
        <f>239.50349578866 * CHOOSE(CONTROL!$C$9, $C$13, 100%, $E$13) + CHOOSE(CONTROL!$C$28, 0, 0)</f>
        <v>239.50349578865999</v>
      </c>
    </row>
    <row r="581" spans="1:5" ht="15">
      <c r="A581" s="13">
        <v>59202</v>
      </c>
      <c r="B581" s="4">
        <f>34.4333 * CHOOSE(CONTROL!$C$9, $C$13, 100%, $E$13) + CHOOSE(CONTROL!$C$28, 0.0003, 0)</f>
        <v>34.433600000000006</v>
      </c>
      <c r="C581" s="4">
        <f>34.07 * CHOOSE(CONTROL!$C$9, $C$13, 100%, $E$13) + CHOOSE(CONTROL!$C$28, 0.0003, 0)</f>
        <v>34.070300000000003</v>
      </c>
      <c r="D581" s="4">
        <f>49.2463 * CHOOSE(CONTROL!$C$9, $C$13, 100%, $E$13) + CHOOSE(CONTROL!$C$28, 0, 0)</f>
        <v>49.246299999999998</v>
      </c>
      <c r="E581" s="4">
        <f>229.527201988133 * CHOOSE(CONTROL!$C$9, $C$13, 100%, $E$13) + CHOOSE(CONTROL!$C$28, 0, 0)</f>
        <v>229.52720198813299</v>
      </c>
    </row>
    <row r="582" spans="1:5" ht="15">
      <c r="A582" s="13">
        <v>59230</v>
      </c>
      <c r="B582" s="4">
        <f>35.2325 * CHOOSE(CONTROL!$C$9, $C$13, 100%, $E$13) + CHOOSE(CONTROL!$C$28, 0.0003, 0)</f>
        <v>35.232800000000005</v>
      </c>
      <c r="C582" s="4">
        <f>34.8692 * CHOOSE(CONTROL!$C$9, $C$13, 100%, $E$13) + CHOOSE(CONTROL!$C$28, 0.0003, 0)</f>
        <v>34.869500000000002</v>
      </c>
      <c r="D582" s="4">
        <f>50.919 * CHOOSE(CONTROL!$C$9, $C$13, 100%, $E$13) + CHOOSE(CONTROL!$C$28, 0, 0)</f>
        <v>50.918999999999997</v>
      </c>
      <c r="E582" s="4">
        <f>234.977082309249 * CHOOSE(CONTROL!$C$9, $C$13, 100%, $E$13) + CHOOSE(CONTROL!$C$28, 0, 0)</f>
        <v>234.977082309249</v>
      </c>
    </row>
    <row r="583" spans="1:5" ht="15">
      <c r="A583" s="13">
        <v>59261</v>
      </c>
      <c r="B583" s="4">
        <f>37.3313 * CHOOSE(CONTROL!$C$9, $C$13, 100%, $E$13) + CHOOSE(CONTROL!$C$28, 0.0003, 0)</f>
        <v>37.331600000000002</v>
      </c>
      <c r="C583" s="4">
        <f>36.968 * CHOOSE(CONTROL!$C$9, $C$13, 100%, $E$13) + CHOOSE(CONTROL!$C$28, 0.0003, 0)</f>
        <v>36.968300000000006</v>
      </c>
      <c r="D583" s="4">
        <f>53.5375 * CHOOSE(CONTROL!$C$9, $C$13, 100%, $E$13) + CHOOSE(CONTROL!$C$28, 0, 0)</f>
        <v>53.537500000000001</v>
      </c>
      <c r="E583" s="4">
        <f>249.288757656728 * CHOOSE(CONTROL!$C$9, $C$13, 100%, $E$13) + CHOOSE(CONTROL!$C$28, 0, 0)</f>
        <v>249.288757656728</v>
      </c>
    </row>
    <row r="584" spans="1:5" ht="15">
      <c r="A584" s="13">
        <v>59291</v>
      </c>
      <c r="B584" s="4">
        <f>38.8225 * CHOOSE(CONTROL!$C$9, $C$13, 100%, $E$13) + CHOOSE(CONTROL!$C$28, 0.0003, 0)</f>
        <v>38.822800000000001</v>
      </c>
      <c r="C584" s="4">
        <f>38.4592 * CHOOSE(CONTROL!$C$9, $C$13, 100%, $E$13) + CHOOSE(CONTROL!$C$28, 0.0003, 0)</f>
        <v>38.459500000000006</v>
      </c>
      <c r="D584" s="4">
        <f>55.0459 * CHOOSE(CONTROL!$C$9, $C$13, 100%, $E$13) + CHOOSE(CONTROL!$C$28, 0, 0)</f>
        <v>55.045900000000003</v>
      </c>
      <c r="E584" s="4">
        <f>259.457393719263 * CHOOSE(CONTROL!$C$9, $C$13, 100%, $E$13) + CHOOSE(CONTROL!$C$28, 0, 0)</f>
        <v>259.457393719263</v>
      </c>
    </row>
    <row r="585" spans="1:5" ht="15">
      <c r="A585" s="13">
        <v>59322</v>
      </c>
      <c r="B585" s="4">
        <f>39.7336 * CHOOSE(CONTROL!$C$9, $C$13, 100%, $E$13) + CHOOSE(CONTROL!$C$28, 0.013, 0)</f>
        <v>39.746600000000001</v>
      </c>
      <c r="C585" s="4">
        <f>39.3703 * CHOOSE(CONTROL!$C$9, $C$13, 100%, $E$13) + CHOOSE(CONTROL!$C$28, 0.013, 0)</f>
        <v>39.383299999999998</v>
      </c>
      <c r="D585" s="4">
        <f>54.4499 * CHOOSE(CONTROL!$C$9, $C$13, 100%, $E$13) + CHOOSE(CONTROL!$C$28, 0, 0)</f>
        <v>54.4499</v>
      </c>
      <c r="E585" s="4">
        <f>265.670186645278 * CHOOSE(CONTROL!$C$9, $C$13, 100%, $E$13) + CHOOSE(CONTROL!$C$28, 0, 0)</f>
        <v>265.67018664527802</v>
      </c>
    </row>
    <row r="586" spans="1:5" ht="15">
      <c r="A586" s="13">
        <v>59352</v>
      </c>
      <c r="B586" s="4">
        <f>39.8568 * CHOOSE(CONTROL!$C$9, $C$13, 100%, $E$13) + CHOOSE(CONTROL!$C$28, 0.013, 0)</f>
        <v>39.869799999999998</v>
      </c>
      <c r="C586" s="4">
        <f>39.4936 * CHOOSE(CONTROL!$C$9, $C$13, 100%, $E$13) + CHOOSE(CONTROL!$C$28, 0.013, 0)</f>
        <v>39.506599999999999</v>
      </c>
      <c r="D586" s="4">
        <f>54.9353 * CHOOSE(CONTROL!$C$9, $C$13, 100%, $E$13) + CHOOSE(CONTROL!$C$28, 0, 0)</f>
        <v>54.935299999999998</v>
      </c>
      <c r="E586" s="4">
        <f>266.510803311789 * CHOOSE(CONTROL!$C$9, $C$13, 100%, $E$13) + CHOOSE(CONTROL!$C$28, 0, 0)</f>
        <v>266.510803311789</v>
      </c>
    </row>
    <row r="587" spans="1:5" ht="15">
      <c r="A587" s="13">
        <v>59383</v>
      </c>
      <c r="B587" s="4">
        <f>39.8444 * CHOOSE(CONTROL!$C$9, $C$13, 100%, $E$13) + CHOOSE(CONTROL!$C$28, 0.013, 0)</f>
        <v>39.857399999999998</v>
      </c>
      <c r="C587" s="4">
        <f>39.4811 * CHOOSE(CONTROL!$C$9, $C$13, 100%, $E$13) + CHOOSE(CONTROL!$C$28, 0.013, 0)</f>
        <v>39.494099999999996</v>
      </c>
      <c r="D587" s="4">
        <f>55.8112 * CHOOSE(CONTROL!$C$9, $C$13, 100%, $E$13) + CHOOSE(CONTROL!$C$28, 0, 0)</f>
        <v>55.811199999999999</v>
      </c>
      <c r="E587" s="4">
        <f>266.426035244578 * CHOOSE(CONTROL!$C$9, $C$13, 100%, $E$13) + CHOOSE(CONTROL!$C$28, 0, 0)</f>
        <v>266.42603524457797</v>
      </c>
    </row>
    <row r="588" spans="1:5" ht="15">
      <c r="A588" s="13">
        <v>59414</v>
      </c>
      <c r="B588" s="4">
        <f>40.7799 * CHOOSE(CONTROL!$C$9, $C$13, 100%, $E$13) + CHOOSE(CONTROL!$C$28, 0.013, 0)</f>
        <v>40.792899999999996</v>
      </c>
      <c r="C588" s="4">
        <f>40.4166 * CHOOSE(CONTROL!$C$9, $C$13, 100%, $E$13) + CHOOSE(CONTROL!$C$28, 0.013, 0)</f>
        <v>40.429600000000001</v>
      </c>
      <c r="D588" s="4">
        <f>55.2327 * CHOOSE(CONTROL!$C$9, $C$13, 100%, $E$13) + CHOOSE(CONTROL!$C$28, 0, 0)</f>
        <v>55.232700000000001</v>
      </c>
      <c r="E588" s="4">
        <f>272.804832302215 * CHOOSE(CONTROL!$C$9, $C$13, 100%, $E$13) + CHOOSE(CONTROL!$C$28, 0, 0)</f>
        <v>272.804832302215</v>
      </c>
    </row>
    <row r="589" spans="1:5" ht="15">
      <c r="A589" s="13">
        <v>59444</v>
      </c>
      <c r="B589" s="4">
        <f>39.1856 * CHOOSE(CONTROL!$C$9, $C$13, 100%, $E$13) + CHOOSE(CONTROL!$C$28, 0.013, 0)</f>
        <v>39.198599999999999</v>
      </c>
      <c r="C589" s="4">
        <f>38.8223 * CHOOSE(CONTROL!$C$9, $C$13, 100%, $E$13) + CHOOSE(CONTROL!$C$28, 0.013, 0)</f>
        <v>38.835299999999997</v>
      </c>
      <c r="D589" s="4">
        <f>54.9594 * CHOOSE(CONTROL!$C$9, $C$13, 100%, $E$13) + CHOOSE(CONTROL!$C$28, 0, 0)</f>
        <v>54.959400000000002</v>
      </c>
      <c r="E589" s="4">
        <f>261.933327682388 * CHOOSE(CONTROL!$C$9, $C$13, 100%, $E$13) + CHOOSE(CONTROL!$C$28, 0, 0)</f>
        <v>261.93332768238798</v>
      </c>
    </row>
    <row r="590" spans="1:5" ht="15">
      <c r="A590" s="13">
        <v>59475</v>
      </c>
      <c r="B590" s="4">
        <f>37.9093 * CHOOSE(CONTROL!$C$9, $C$13, 100%, $E$13) + CHOOSE(CONTROL!$C$28, 0.0003, 0)</f>
        <v>37.909600000000005</v>
      </c>
      <c r="C590" s="4">
        <f>37.546 * CHOOSE(CONTROL!$C$9, $C$13, 100%, $E$13) + CHOOSE(CONTROL!$C$28, 0.0003, 0)</f>
        <v>37.546300000000002</v>
      </c>
      <c r="D590" s="4">
        <f>54.2277 * CHOOSE(CONTROL!$C$9, $C$13, 100%, $E$13) + CHOOSE(CONTROL!$C$28, 0, 0)</f>
        <v>54.227699999999999</v>
      </c>
      <c r="E590" s="4">
        <f>253.230472782045 * CHOOSE(CONTROL!$C$9, $C$13, 100%, $E$13) + CHOOSE(CONTROL!$C$28, 0, 0)</f>
        <v>253.23047278204501</v>
      </c>
    </row>
    <row r="591" spans="1:5" ht="15">
      <c r="A591" s="13">
        <v>59505</v>
      </c>
      <c r="B591" s="4">
        <f>37.0873 * CHOOSE(CONTROL!$C$9, $C$13, 100%, $E$13) + CHOOSE(CONTROL!$C$28, 0.0003, 0)</f>
        <v>37.087600000000002</v>
      </c>
      <c r="C591" s="4">
        <f>36.724 * CHOOSE(CONTROL!$C$9, $C$13, 100%, $E$13) + CHOOSE(CONTROL!$C$28, 0.0003, 0)</f>
        <v>36.724299999999999</v>
      </c>
      <c r="D591" s="4">
        <f>53.9761 * CHOOSE(CONTROL!$C$9, $C$13, 100%, $E$13) + CHOOSE(CONTROL!$C$28, 0, 0)</f>
        <v>53.976100000000002</v>
      </c>
      <c r="E591" s="4">
        <f>247.625184337709 * CHOOSE(CONTROL!$C$9, $C$13, 100%, $E$13) + CHOOSE(CONTROL!$C$28, 0, 0)</f>
        <v>247.62518433770899</v>
      </c>
    </row>
    <row r="592" spans="1:5" ht="15">
      <c r="A592" s="13">
        <v>59536</v>
      </c>
      <c r="B592" s="4">
        <f>36.5186 * CHOOSE(CONTROL!$C$9, $C$13, 100%, $E$13) + CHOOSE(CONTROL!$C$28, 0.0003, 0)</f>
        <v>36.518900000000002</v>
      </c>
      <c r="C592" s="4">
        <f>36.1553 * CHOOSE(CONTROL!$C$9, $C$13, 100%, $E$13) + CHOOSE(CONTROL!$C$28, 0.0003, 0)</f>
        <v>36.1556</v>
      </c>
      <c r="D592" s="4">
        <f>52.1239 * CHOOSE(CONTROL!$C$9, $C$13, 100%, $E$13) + CHOOSE(CONTROL!$C$28, 0, 0)</f>
        <v>52.123899999999999</v>
      </c>
      <c r="E592" s="4">
        <f>243.7470452628 * CHOOSE(CONTROL!$C$9, $C$13, 100%, $E$13) + CHOOSE(CONTROL!$C$28, 0, 0)</f>
        <v>243.74704526279999</v>
      </c>
    </row>
    <row r="593" spans="1:5" ht="15">
      <c r="A593" s="13">
        <v>59567</v>
      </c>
      <c r="B593" s="4">
        <f>34.9626 * CHOOSE(CONTROL!$C$9, $C$13, 100%, $E$13) + CHOOSE(CONTROL!$C$28, 0.0003, 0)</f>
        <v>34.962900000000005</v>
      </c>
      <c r="C593" s="4">
        <f>34.5993 * CHOOSE(CONTROL!$C$9, $C$13, 100%, $E$13) + CHOOSE(CONTROL!$C$28, 0.0003, 0)</f>
        <v>34.599600000000002</v>
      </c>
      <c r="D593" s="4">
        <f>50.0836 * CHOOSE(CONTROL!$C$9, $C$13, 100%, $E$13) + CHOOSE(CONTROL!$C$28, 0, 0)</f>
        <v>50.083599999999997</v>
      </c>
      <c r="E593" s="4">
        <f>233.593990383394 * CHOOSE(CONTROL!$C$9, $C$13, 100%, $E$13) + CHOOSE(CONTROL!$C$28, 0, 0)</f>
        <v>233.59399038339399</v>
      </c>
    </row>
    <row r="594" spans="1:5" ht="15">
      <c r="A594" s="13">
        <v>59595</v>
      </c>
      <c r="B594" s="4">
        <f>35.7743 * CHOOSE(CONTROL!$C$9, $C$13, 100%, $E$13) + CHOOSE(CONTROL!$C$28, 0.0003, 0)</f>
        <v>35.7746</v>
      </c>
      <c r="C594" s="4">
        <f>35.4111 * CHOOSE(CONTROL!$C$9, $C$13, 100%, $E$13) + CHOOSE(CONTROL!$C$28, 0.0003, 0)</f>
        <v>35.4114</v>
      </c>
      <c r="D594" s="4">
        <f>51.7859 * CHOOSE(CONTROL!$C$9, $C$13, 100%, $E$13) + CHOOSE(CONTROL!$C$28, 0, 0)</f>
        <v>51.785899999999998</v>
      </c>
      <c r="E594" s="4">
        <f>239.140432287858 * CHOOSE(CONTROL!$C$9, $C$13, 100%, $E$13) + CHOOSE(CONTROL!$C$28, 0, 0)</f>
        <v>239.140432287858</v>
      </c>
    </row>
    <row r="595" spans="1:5" ht="15">
      <c r="A595" s="13">
        <v>59626</v>
      </c>
      <c r="B595" s="4">
        <f>37.9061 * CHOOSE(CONTROL!$C$9, $C$13, 100%, $E$13) + CHOOSE(CONTROL!$C$28, 0.0003, 0)</f>
        <v>37.906400000000005</v>
      </c>
      <c r="C595" s="4">
        <f>37.5428 * CHOOSE(CONTROL!$C$9, $C$13, 100%, $E$13) + CHOOSE(CONTROL!$C$28, 0.0003, 0)</f>
        <v>37.543100000000003</v>
      </c>
      <c r="D595" s="4">
        <f>54.4507 * CHOOSE(CONTROL!$C$9, $C$13, 100%, $E$13) + CHOOSE(CONTROL!$C$28, 0, 0)</f>
        <v>54.450699999999998</v>
      </c>
      <c r="E595" s="4">
        <f>253.705683484803 * CHOOSE(CONTROL!$C$9, $C$13, 100%, $E$13) + CHOOSE(CONTROL!$C$28, 0, 0)</f>
        <v>253.70568348480299</v>
      </c>
    </row>
    <row r="596" spans="1:5" ht="15">
      <c r="A596" s="13">
        <v>59656</v>
      </c>
      <c r="B596" s="4">
        <f>39.4208 * CHOOSE(CONTROL!$C$9, $C$13, 100%, $E$13) + CHOOSE(CONTROL!$C$28, 0.0003, 0)</f>
        <v>39.421100000000003</v>
      </c>
      <c r="C596" s="4">
        <f>39.0575 * CHOOSE(CONTROL!$C$9, $C$13, 100%, $E$13) + CHOOSE(CONTROL!$C$28, 0.0003, 0)</f>
        <v>39.0578</v>
      </c>
      <c r="D596" s="4">
        <f>55.9858 * CHOOSE(CONTROL!$C$9, $C$13, 100%, $E$13) + CHOOSE(CONTROL!$C$28, 0, 0)</f>
        <v>55.985799999999998</v>
      </c>
      <c r="E596" s="4">
        <f>264.054488567727 * CHOOSE(CONTROL!$C$9, $C$13, 100%, $E$13) + CHOOSE(CONTROL!$C$28, 0, 0)</f>
        <v>264.05448856772699</v>
      </c>
    </row>
    <row r="597" spans="1:5" ht="15">
      <c r="A597" s="13">
        <v>59687</v>
      </c>
      <c r="B597" s="4">
        <f>40.3462 * CHOOSE(CONTROL!$C$9, $C$13, 100%, $E$13) + CHOOSE(CONTROL!$C$28, 0.013, 0)</f>
        <v>40.359200000000001</v>
      </c>
      <c r="C597" s="4">
        <f>39.9829 * CHOOSE(CONTROL!$C$9, $C$13, 100%, $E$13) + CHOOSE(CONTROL!$C$28, 0.013, 0)</f>
        <v>39.995899999999999</v>
      </c>
      <c r="D597" s="4">
        <f>55.3792 * CHOOSE(CONTROL!$C$9, $C$13, 100%, $E$13) + CHOOSE(CONTROL!$C$28, 0, 0)</f>
        <v>55.379199999999997</v>
      </c>
      <c r="E597" s="4">
        <f>270.377360447151 * CHOOSE(CONTROL!$C$9, $C$13, 100%, $E$13) + CHOOSE(CONTROL!$C$28, 0, 0)</f>
        <v>270.37736044715098</v>
      </c>
    </row>
    <row r="598" spans="1:5" ht="15">
      <c r="A598" s="13">
        <v>59717</v>
      </c>
      <c r="B598" s="4">
        <f>40.4714 * CHOOSE(CONTROL!$C$9, $C$13, 100%, $E$13) + CHOOSE(CONTROL!$C$28, 0.013, 0)</f>
        <v>40.484400000000001</v>
      </c>
      <c r="C598" s="4">
        <f>40.1081 * CHOOSE(CONTROL!$C$9, $C$13, 100%, $E$13) + CHOOSE(CONTROL!$C$28, 0.013, 0)</f>
        <v>40.121099999999998</v>
      </c>
      <c r="D598" s="4">
        <f>55.8732 * CHOOSE(CONTROL!$C$9, $C$13, 100%, $E$13) + CHOOSE(CONTROL!$C$28, 0, 0)</f>
        <v>55.873199999999997</v>
      </c>
      <c r="E598" s="4">
        <f>271.232871252895 * CHOOSE(CONTROL!$C$9, $C$13, 100%, $E$13) + CHOOSE(CONTROL!$C$28, 0, 0)</f>
        <v>271.23287125289499</v>
      </c>
    </row>
    <row r="599" spans="1:5" ht="15">
      <c r="A599" s="13">
        <v>59748</v>
      </c>
      <c r="B599" s="4">
        <f>40.4588 * CHOOSE(CONTROL!$C$9, $C$13, 100%, $E$13) + CHOOSE(CONTROL!$C$28, 0.013, 0)</f>
        <v>40.471799999999995</v>
      </c>
      <c r="C599" s="4">
        <f>40.0955 * CHOOSE(CONTROL!$C$9, $C$13, 100%, $E$13) + CHOOSE(CONTROL!$C$28, 0.013, 0)</f>
        <v>40.108499999999999</v>
      </c>
      <c r="D599" s="4">
        <f>56.7645 * CHOOSE(CONTROL!$C$9, $C$13, 100%, $E$13) + CHOOSE(CONTROL!$C$28, 0, 0)</f>
        <v>56.764499999999998</v>
      </c>
      <c r="E599" s="4">
        <f>271.146601255677 * CHOOSE(CONTROL!$C$9, $C$13, 100%, $E$13) + CHOOSE(CONTROL!$C$28, 0, 0)</f>
        <v>271.14660125567701</v>
      </c>
    </row>
    <row r="600" spans="1:5" ht="15">
      <c r="A600" s="13">
        <v>59779</v>
      </c>
      <c r="B600" s="4">
        <f>41.4089 * CHOOSE(CONTROL!$C$9, $C$13, 100%, $E$13) + CHOOSE(CONTROL!$C$28, 0.013, 0)</f>
        <v>41.421900000000001</v>
      </c>
      <c r="C600" s="4">
        <f>41.0457 * CHOOSE(CONTROL!$C$9, $C$13, 100%, $E$13) + CHOOSE(CONTROL!$C$28, 0.013, 0)</f>
        <v>41.058699999999995</v>
      </c>
      <c r="D600" s="4">
        <f>56.1759 * CHOOSE(CONTROL!$C$9, $C$13, 100%, $E$13) + CHOOSE(CONTROL!$C$28, 0, 0)</f>
        <v>56.175899999999999</v>
      </c>
      <c r="E600" s="4">
        <f>277.63841854632 * CHOOSE(CONTROL!$C$9, $C$13, 100%, $E$13) + CHOOSE(CONTROL!$C$28, 0, 0)</f>
        <v>277.63841854632</v>
      </c>
    </row>
    <row r="601" spans="1:5" ht="15">
      <c r="A601" s="13">
        <v>59809</v>
      </c>
      <c r="B601" s="4">
        <f>39.7896 * CHOOSE(CONTROL!$C$9, $C$13, 100%, $E$13) + CHOOSE(CONTROL!$C$28, 0.013, 0)</f>
        <v>39.802599999999998</v>
      </c>
      <c r="C601" s="4">
        <f>39.4263 * CHOOSE(CONTROL!$C$9, $C$13, 100%, $E$13) + CHOOSE(CONTROL!$C$28, 0.013, 0)</f>
        <v>39.439299999999996</v>
      </c>
      <c r="D601" s="4">
        <f>55.8978 * CHOOSE(CONTROL!$C$9, $C$13, 100%, $E$13) + CHOOSE(CONTROL!$C$28, 0, 0)</f>
        <v>55.897799999999997</v>
      </c>
      <c r="E601" s="4">
        <f>266.574291403131 * CHOOSE(CONTROL!$C$9, $C$13, 100%, $E$13) + CHOOSE(CONTROL!$C$28, 0, 0)</f>
        <v>266.57429140313099</v>
      </c>
    </row>
    <row r="602" spans="1:5" ht="15">
      <c r="A602" s="13">
        <v>59840</v>
      </c>
      <c r="B602" s="4">
        <f>38.4933 * CHOOSE(CONTROL!$C$9, $C$13, 100%, $E$13) + CHOOSE(CONTROL!$C$28, 0.0003, 0)</f>
        <v>38.493600000000001</v>
      </c>
      <c r="C602" s="4">
        <f>38.13 * CHOOSE(CONTROL!$C$9, $C$13, 100%, $E$13) + CHOOSE(CONTROL!$C$28, 0.0003, 0)</f>
        <v>38.130300000000005</v>
      </c>
      <c r="D602" s="4">
        <f>55.1531 * CHOOSE(CONTROL!$C$9, $C$13, 100%, $E$13) + CHOOSE(CONTROL!$C$28, 0, 0)</f>
        <v>55.153100000000002</v>
      </c>
      <c r="E602" s="4">
        <f>257.717238355433 * CHOOSE(CONTROL!$C$9, $C$13, 100%, $E$13) + CHOOSE(CONTROL!$C$28, 0, 0)</f>
        <v>257.71723835543298</v>
      </c>
    </row>
    <row r="603" spans="1:5" ht="15">
      <c r="A603" s="13">
        <v>59870</v>
      </c>
      <c r="B603" s="4">
        <f>37.6583 * CHOOSE(CONTROL!$C$9, $C$13, 100%, $E$13) + CHOOSE(CONTROL!$C$28, 0.0003, 0)</f>
        <v>37.6586</v>
      </c>
      <c r="C603" s="4">
        <f>37.295 * CHOOSE(CONTROL!$C$9, $C$13, 100%, $E$13) + CHOOSE(CONTROL!$C$28, 0.0003, 0)</f>
        <v>37.295300000000005</v>
      </c>
      <c r="D603" s="4">
        <f>54.897 * CHOOSE(CONTROL!$C$9, $C$13, 100%, $E$13) + CHOOSE(CONTROL!$C$28, 0, 0)</f>
        <v>54.896999999999998</v>
      </c>
      <c r="E603" s="4">
        <f>252.012634789403 * CHOOSE(CONTROL!$C$9, $C$13, 100%, $E$13) + CHOOSE(CONTROL!$C$28, 0, 0)</f>
        <v>252.01263478940299</v>
      </c>
    </row>
    <row r="604" spans="1:5" ht="15">
      <c r="A604" s="13">
        <v>59901</v>
      </c>
      <c r="B604" s="4">
        <f>37.0807 * CHOOSE(CONTROL!$C$9, $C$13, 100%, $E$13) + CHOOSE(CONTROL!$C$28, 0.0003, 0)</f>
        <v>37.081000000000003</v>
      </c>
      <c r="C604" s="4">
        <f>36.7174 * CHOOSE(CONTROL!$C$9, $C$13, 100%, $E$13) + CHOOSE(CONTROL!$C$28, 0.0003, 0)</f>
        <v>36.717700000000001</v>
      </c>
      <c r="D604" s="4">
        <f>53.0122 * CHOOSE(CONTROL!$C$9, $C$13, 100%, $E$13) + CHOOSE(CONTROL!$C$28, 0, 0)</f>
        <v>53.0122</v>
      </c>
      <c r="E604" s="4">
        <f>248.065782416687 * CHOOSE(CONTROL!$C$9, $C$13, 100%, $E$13) + CHOOSE(CONTROL!$C$28, 0, 0)</f>
        <v>248.065782416687</v>
      </c>
    </row>
    <row r="605" spans="1:5" ht="15">
      <c r="A605" s="13">
        <v>59932</v>
      </c>
      <c r="B605" s="4">
        <f>35.5002 * CHOOSE(CONTROL!$C$9, $C$13, 100%, $E$13) + CHOOSE(CONTROL!$C$28, 0.0003, 0)</f>
        <v>35.500500000000002</v>
      </c>
      <c r="C605" s="4">
        <f>35.1369 * CHOOSE(CONTROL!$C$9, $C$13, 100%, $E$13) + CHOOSE(CONTROL!$C$28, 0.0003, 0)</f>
        <v>35.1372</v>
      </c>
      <c r="D605" s="4">
        <f>50.9358 * CHOOSE(CONTROL!$C$9, $C$13, 100%, $E$13) + CHOOSE(CONTROL!$C$28, 0, 0)</f>
        <v>50.9358</v>
      </c>
      <c r="E605" s="4">
        <f>237.732834586021 * CHOOSE(CONTROL!$C$9, $C$13, 100%, $E$13) + CHOOSE(CONTROL!$C$28, 0, 0)</f>
        <v>237.732834586021</v>
      </c>
    </row>
    <row r="606" spans="1:5" ht="15">
      <c r="A606" s="13">
        <v>59961</v>
      </c>
      <c r="B606" s="4">
        <f>36.3247 * CHOOSE(CONTROL!$C$9, $C$13, 100%, $E$13) + CHOOSE(CONTROL!$C$28, 0.0003, 0)</f>
        <v>36.325000000000003</v>
      </c>
      <c r="C606" s="4">
        <f>35.9614 * CHOOSE(CONTROL!$C$9, $C$13, 100%, $E$13) + CHOOSE(CONTROL!$C$28, 0.0003, 0)</f>
        <v>35.9617</v>
      </c>
      <c r="D606" s="4">
        <f>52.6682 * CHOOSE(CONTROL!$C$9, $C$13, 100%, $E$13) + CHOOSE(CONTROL!$C$28, 0, 0)</f>
        <v>52.668199999999999</v>
      </c>
      <c r="E606" s="4">
        <f>243.377548962665 * CHOOSE(CONTROL!$C$9, $C$13, 100%, $E$13) + CHOOSE(CONTROL!$C$28, 0, 0)</f>
        <v>243.377548962665</v>
      </c>
    </row>
    <row r="607" spans="1:5" ht="15">
      <c r="A607" s="13">
        <v>59992</v>
      </c>
      <c r="B607" s="4">
        <f>38.49 * CHOOSE(CONTROL!$C$9, $C$13, 100%, $E$13) + CHOOSE(CONTROL!$C$28, 0.0003, 0)</f>
        <v>38.490300000000005</v>
      </c>
      <c r="C607" s="4">
        <f>38.1268 * CHOOSE(CONTROL!$C$9, $C$13, 100%, $E$13) + CHOOSE(CONTROL!$C$28, 0.0003, 0)</f>
        <v>38.127100000000006</v>
      </c>
      <c r="D607" s="4">
        <f>55.3801 * CHOOSE(CONTROL!$C$9, $C$13, 100%, $E$13) + CHOOSE(CONTROL!$C$28, 0, 0)</f>
        <v>55.380099999999999</v>
      </c>
      <c r="E607" s="4">
        <f>258.200868894073 * CHOOSE(CONTROL!$C$9, $C$13, 100%, $E$13) + CHOOSE(CONTROL!$C$28, 0, 0)</f>
        <v>258.20086889407298</v>
      </c>
    </row>
    <row r="608" spans="1:5" ht="15">
      <c r="A608" s="13">
        <v>60022</v>
      </c>
      <c r="B608" s="4">
        <f>40.0285 * CHOOSE(CONTROL!$C$9, $C$13, 100%, $E$13) + CHOOSE(CONTROL!$C$28, 0.0003, 0)</f>
        <v>40.028800000000004</v>
      </c>
      <c r="C608" s="4">
        <f>39.6652 * CHOOSE(CONTROL!$C$9, $C$13, 100%, $E$13) + CHOOSE(CONTROL!$C$28, 0.0003, 0)</f>
        <v>39.665500000000002</v>
      </c>
      <c r="D608" s="4">
        <f>56.9422 * CHOOSE(CONTROL!$C$9, $C$13, 100%, $E$13) + CHOOSE(CONTROL!$C$28, 0, 0)</f>
        <v>56.9422</v>
      </c>
      <c r="E608" s="4">
        <f>268.733035252051 * CHOOSE(CONTROL!$C$9, $C$13, 100%, $E$13) + CHOOSE(CONTROL!$C$28, 0, 0)</f>
        <v>268.73303525205102</v>
      </c>
    </row>
    <row r="609" spans="1:5" ht="15">
      <c r="A609" s="13">
        <v>60053</v>
      </c>
      <c r="B609" s="4">
        <f>40.9685 * CHOOSE(CONTROL!$C$9, $C$13, 100%, $E$13) + CHOOSE(CONTROL!$C$28, 0.013, 0)</f>
        <v>40.981499999999997</v>
      </c>
      <c r="C609" s="4">
        <f>40.6052 * CHOOSE(CONTROL!$C$9, $C$13, 100%, $E$13) + CHOOSE(CONTROL!$C$28, 0.013, 0)</f>
        <v>40.618200000000002</v>
      </c>
      <c r="D609" s="4">
        <f>56.3249 * CHOOSE(CONTROL!$C$9, $C$13, 100%, $E$13) + CHOOSE(CONTROL!$C$28, 0, 0)</f>
        <v>56.3249</v>
      </c>
      <c r="E609" s="4">
        <f>275.167936475976 * CHOOSE(CONTROL!$C$9, $C$13, 100%, $E$13) + CHOOSE(CONTROL!$C$28, 0, 0)</f>
        <v>275.16793647597598</v>
      </c>
    </row>
    <row r="610" spans="1:5" ht="15">
      <c r="A610" s="13">
        <v>60083</v>
      </c>
      <c r="B610" s="4">
        <f>41.0957 * CHOOSE(CONTROL!$C$9, $C$13, 100%, $E$13) + CHOOSE(CONTROL!$C$28, 0.013, 0)</f>
        <v>41.108699999999999</v>
      </c>
      <c r="C610" s="4">
        <f>40.7324 * CHOOSE(CONTROL!$C$9, $C$13, 100%, $E$13) + CHOOSE(CONTROL!$C$28, 0.013, 0)</f>
        <v>40.745399999999997</v>
      </c>
      <c r="D610" s="4">
        <f>56.8277 * CHOOSE(CONTROL!$C$9, $C$13, 100%, $E$13) + CHOOSE(CONTROL!$C$28, 0, 0)</f>
        <v>56.8277</v>
      </c>
      <c r="E610" s="4">
        <f>276.038605316962 * CHOOSE(CONTROL!$C$9, $C$13, 100%, $E$13) + CHOOSE(CONTROL!$C$28, 0, 0)</f>
        <v>276.03860531696199</v>
      </c>
    </row>
    <row r="611" spans="1:5" ht="15">
      <c r="A611" s="13">
        <v>60114</v>
      </c>
      <c r="B611" s="4">
        <f>41.0828 * CHOOSE(CONTROL!$C$9, $C$13, 100%, $E$13) + CHOOSE(CONTROL!$C$28, 0.013, 0)</f>
        <v>41.095799999999997</v>
      </c>
      <c r="C611" s="4">
        <f>40.7196 * CHOOSE(CONTROL!$C$9, $C$13, 100%, $E$13) + CHOOSE(CONTROL!$C$28, 0.013, 0)</f>
        <v>40.732599999999998</v>
      </c>
      <c r="D611" s="4">
        <f>57.7348 * CHOOSE(CONTROL!$C$9, $C$13, 100%, $E$13) + CHOOSE(CONTROL!$C$28, 0, 0)</f>
        <v>57.7348</v>
      </c>
      <c r="E611" s="4">
        <f>275.950806778376 * CHOOSE(CONTROL!$C$9, $C$13, 100%, $E$13) + CHOOSE(CONTROL!$C$28, 0, 0)</f>
        <v>275.95080677837598</v>
      </c>
    </row>
    <row r="612" spans="1:5" ht="15">
      <c r="A612" s="13">
        <v>60145</v>
      </c>
      <c r="B612" s="4">
        <f>42.0479 * CHOOSE(CONTROL!$C$9, $C$13, 100%, $E$13) + CHOOSE(CONTROL!$C$28, 0.013, 0)</f>
        <v>42.060899999999997</v>
      </c>
      <c r="C612" s="4">
        <f>41.6847 * CHOOSE(CONTROL!$C$9, $C$13, 100%, $E$13) + CHOOSE(CONTROL!$C$28, 0.013, 0)</f>
        <v>41.697699999999998</v>
      </c>
      <c r="D612" s="4">
        <f>57.1357 * CHOOSE(CONTROL!$C$9, $C$13, 100%, $E$13) + CHOOSE(CONTROL!$C$28, 0, 0)</f>
        <v>57.1357</v>
      </c>
      <c r="E612" s="4">
        <f>282.557646807034 * CHOOSE(CONTROL!$C$9, $C$13, 100%, $E$13) + CHOOSE(CONTROL!$C$28, 0, 0)</f>
        <v>282.55764680703402</v>
      </c>
    </row>
    <row r="613" spans="1:5" ht="15">
      <c r="A613" s="13">
        <v>60175</v>
      </c>
      <c r="B613" s="4">
        <f>40.4031 * CHOOSE(CONTROL!$C$9, $C$13, 100%, $E$13) + CHOOSE(CONTROL!$C$28, 0.013, 0)</f>
        <v>40.4161</v>
      </c>
      <c r="C613" s="4">
        <f>40.0398 * CHOOSE(CONTROL!$C$9, $C$13, 100%, $E$13) + CHOOSE(CONTROL!$C$28, 0.013, 0)</f>
        <v>40.052799999999998</v>
      </c>
      <c r="D613" s="4">
        <f>56.8527 * CHOOSE(CONTROL!$C$9, $C$13, 100%, $E$13) + CHOOSE(CONTROL!$C$28, 0, 0)</f>
        <v>56.852699999999999</v>
      </c>
      <c r="E613" s="4">
        <f>271.297484233274 * CHOOSE(CONTROL!$C$9, $C$13, 100%, $E$13) + CHOOSE(CONTROL!$C$28, 0, 0)</f>
        <v>271.29748423327402</v>
      </c>
    </row>
    <row r="614" spans="1:5" ht="15">
      <c r="A614" s="13">
        <v>60206</v>
      </c>
      <c r="B614" s="4">
        <f>39.0864 * CHOOSE(CONTROL!$C$9, $C$13, 100%, $E$13) + CHOOSE(CONTROL!$C$28, 0.0003, 0)</f>
        <v>39.0867</v>
      </c>
      <c r="C614" s="4">
        <f>38.7231 * CHOOSE(CONTROL!$C$9, $C$13, 100%, $E$13) + CHOOSE(CONTROL!$C$28, 0.0003, 0)</f>
        <v>38.723400000000005</v>
      </c>
      <c r="D614" s="4">
        <f>56.0948 * CHOOSE(CONTROL!$C$9, $C$13, 100%, $E$13) + CHOOSE(CONTROL!$C$28, 0, 0)</f>
        <v>56.094799999999999</v>
      </c>
      <c r="E614" s="4">
        <f>262.283500938361 * CHOOSE(CONTROL!$C$9, $C$13, 100%, $E$13) + CHOOSE(CONTROL!$C$28, 0, 0)</f>
        <v>262.28350093836099</v>
      </c>
    </row>
    <row r="615" spans="1:5" ht="15">
      <c r="A615" s="13">
        <v>60236</v>
      </c>
      <c r="B615" s="4">
        <f>38.2383 * CHOOSE(CONTROL!$C$9, $C$13, 100%, $E$13) + CHOOSE(CONTROL!$C$28, 0.0003, 0)</f>
        <v>38.238600000000005</v>
      </c>
      <c r="C615" s="4">
        <f>37.8751 * CHOOSE(CONTROL!$C$9, $C$13, 100%, $E$13) + CHOOSE(CONTROL!$C$28, 0.0003, 0)</f>
        <v>37.875400000000006</v>
      </c>
      <c r="D615" s="4">
        <f>55.8343 * CHOOSE(CONTROL!$C$9, $C$13, 100%, $E$13) + CHOOSE(CONTROL!$C$28, 0, 0)</f>
        <v>55.834299999999999</v>
      </c>
      <c r="E615" s="4">
        <f>256.477822574307 * CHOOSE(CONTROL!$C$9, $C$13, 100%, $E$13) + CHOOSE(CONTROL!$C$28, 0, 0)</f>
        <v>256.47782257430703</v>
      </c>
    </row>
    <row r="616" spans="1:5" ht="15">
      <c r="A616" s="13">
        <v>60267</v>
      </c>
      <c r="B616" s="4">
        <f>37.6516 * CHOOSE(CONTROL!$C$9, $C$13, 100%, $E$13) + CHOOSE(CONTROL!$C$28, 0.0003, 0)</f>
        <v>37.651900000000005</v>
      </c>
      <c r="C616" s="4">
        <f>37.2883 * CHOOSE(CONTROL!$C$9, $C$13, 100%, $E$13) + CHOOSE(CONTROL!$C$28, 0.0003, 0)</f>
        <v>37.288600000000002</v>
      </c>
      <c r="D616" s="4">
        <f>53.9161 * CHOOSE(CONTROL!$C$9, $C$13, 100%, $E$13) + CHOOSE(CONTROL!$C$28, 0, 0)</f>
        <v>53.9161</v>
      </c>
      <c r="E616" s="4">
        <f>252.46103943396 * CHOOSE(CONTROL!$C$9, $C$13, 100%, $E$13) + CHOOSE(CONTROL!$C$28, 0, 0)</f>
        <v>252.46103943396</v>
      </c>
    </row>
    <row r="617" spans="1:5" ht="15">
      <c r="A617" s="13">
        <v>60298</v>
      </c>
      <c r="B617" s="4">
        <f>36.0462 * CHOOSE(CONTROL!$C$9, $C$13, 100%, $E$13) + CHOOSE(CONTROL!$C$28, 0.0003, 0)</f>
        <v>36.046500000000002</v>
      </c>
      <c r="C617" s="4">
        <f>35.683 * CHOOSE(CONTROL!$C$9, $C$13, 100%, $E$13) + CHOOSE(CONTROL!$C$28, 0.0003, 0)</f>
        <v>35.683300000000003</v>
      </c>
      <c r="D617" s="4">
        <f>51.8031 * CHOOSE(CONTROL!$C$9, $C$13, 100%, $E$13) + CHOOSE(CONTROL!$C$28, 0, 0)</f>
        <v>51.803100000000001</v>
      </c>
      <c r="E617" s="4">
        <f>241.945011288793 * CHOOSE(CONTROL!$C$9, $C$13, 100%, $E$13) + CHOOSE(CONTROL!$C$28, 0, 0)</f>
        <v>241.94501128879301</v>
      </c>
    </row>
    <row r="618" spans="1:5" ht="15">
      <c r="A618" s="13">
        <v>60326</v>
      </c>
      <c r="B618" s="4">
        <f>36.8838 * CHOOSE(CONTROL!$C$9, $C$13, 100%, $E$13) + CHOOSE(CONTROL!$C$28, 0.0003, 0)</f>
        <v>36.884100000000004</v>
      </c>
      <c r="C618" s="4">
        <f>36.5205 * CHOOSE(CONTROL!$C$9, $C$13, 100%, $E$13) + CHOOSE(CONTROL!$C$28, 0.0003, 0)</f>
        <v>36.520800000000001</v>
      </c>
      <c r="D618" s="4">
        <f>53.566 * CHOOSE(CONTROL!$C$9, $C$13, 100%, $E$13) + CHOOSE(CONTROL!$C$28, 0, 0)</f>
        <v>53.566000000000003</v>
      </c>
      <c r="E618" s="4">
        <f>247.689739340168 * CHOOSE(CONTROL!$C$9, $C$13, 100%, $E$13) + CHOOSE(CONTROL!$C$28, 0, 0)</f>
        <v>247.68973934016799</v>
      </c>
    </row>
    <row r="619" spans="1:5" ht="15">
      <c r="A619" s="13">
        <v>60357</v>
      </c>
      <c r="B619" s="4">
        <f>39.0831 * CHOOSE(CONTROL!$C$9, $C$13, 100%, $E$13) + CHOOSE(CONTROL!$C$28, 0.0003, 0)</f>
        <v>39.083400000000005</v>
      </c>
      <c r="C619" s="4">
        <f>38.7198 * CHOOSE(CONTROL!$C$9, $C$13, 100%, $E$13) + CHOOSE(CONTROL!$C$28, 0.0003, 0)</f>
        <v>38.720100000000002</v>
      </c>
      <c r="D619" s="4">
        <f>56.3258 * CHOOSE(CONTROL!$C$9, $C$13, 100%, $E$13) + CHOOSE(CONTROL!$C$28, 0, 0)</f>
        <v>56.325800000000001</v>
      </c>
      <c r="E619" s="4">
        <f>262.775700496469 * CHOOSE(CONTROL!$C$9, $C$13, 100%, $E$13) + CHOOSE(CONTROL!$C$28, 0, 0)</f>
        <v>262.77570049646903</v>
      </c>
    </row>
    <row r="620" spans="1:5" ht="15">
      <c r="A620" s="13">
        <v>60387</v>
      </c>
      <c r="B620" s="4">
        <f>40.6458 * CHOOSE(CONTROL!$C$9, $C$13, 100%, $E$13) + CHOOSE(CONTROL!$C$28, 0.0003, 0)</f>
        <v>40.646100000000004</v>
      </c>
      <c r="C620" s="4">
        <f>40.2825 * CHOOSE(CONTROL!$C$9, $C$13, 100%, $E$13) + CHOOSE(CONTROL!$C$28, 0.0003, 0)</f>
        <v>40.282800000000002</v>
      </c>
      <c r="D620" s="4">
        <f>57.9156 * CHOOSE(CONTROL!$C$9, $C$13, 100%, $E$13) + CHOOSE(CONTROL!$C$28, 0, 0)</f>
        <v>57.915599999999998</v>
      </c>
      <c r="E620" s="4">
        <f>273.494476944886 * CHOOSE(CONTROL!$C$9, $C$13, 100%, $E$13) + CHOOSE(CONTROL!$C$28, 0, 0)</f>
        <v>273.494476944886</v>
      </c>
    </row>
    <row r="621" spans="1:5" ht="15">
      <c r="A621" s="13">
        <v>60418</v>
      </c>
      <c r="B621" s="4">
        <f>41.6006 * CHOOSE(CONTROL!$C$9, $C$13, 100%, $E$13) + CHOOSE(CONTROL!$C$28, 0.013, 0)</f>
        <v>41.613599999999998</v>
      </c>
      <c r="C621" s="4">
        <f>41.2373 * CHOOSE(CONTROL!$C$9, $C$13, 100%, $E$13) + CHOOSE(CONTROL!$C$28, 0.013, 0)</f>
        <v>41.250299999999996</v>
      </c>
      <c r="D621" s="4">
        <f>57.2874 * CHOOSE(CONTROL!$C$9, $C$13, 100%, $E$13) + CHOOSE(CONTROL!$C$28, 0, 0)</f>
        <v>57.287399999999998</v>
      </c>
      <c r="E621" s="4">
        <f>280.043392461652 * CHOOSE(CONTROL!$C$9, $C$13, 100%, $E$13) + CHOOSE(CONTROL!$C$28, 0, 0)</f>
        <v>280.04339246165199</v>
      </c>
    </row>
    <row r="622" spans="1:5" ht="15">
      <c r="A622" s="13">
        <v>60448</v>
      </c>
      <c r="B622" s="4">
        <f>41.7297 * CHOOSE(CONTROL!$C$9, $C$13, 100%, $E$13) + CHOOSE(CONTROL!$C$28, 0.013, 0)</f>
        <v>41.742699999999999</v>
      </c>
      <c r="C622" s="4">
        <f>41.3665 * CHOOSE(CONTROL!$C$9, $C$13, 100%, $E$13) + CHOOSE(CONTROL!$C$28, 0.013, 0)</f>
        <v>41.3795</v>
      </c>
      <c r="D622" s="4">
        <f>57.799 * CHOOSE(CONTROL!$C$9, $C$13, 100%, $E$13) + CHOOSE(CONTROL!$C$28, 0, 0)</f>
        <v>57.798999999999999</v>
      </c>
      <c r="E622" s="4">
        <f>280.929487909628 * CHOOSE(CONTROL!$C$9, $C$13, 100%, $E$13) + CHOOSE(CONTROL!$C$28, 0, 0)</f>
        <v>280.92948790962799</v>
      </c>
    </row>
    <row r="623" spans="1:5" ht="15">
      <c r="A623" s="13">
        <v>60479</v>
      </c>
      <c r="B623" s="4">
        <f>41.7167 * CHOOSE(CONTROL!$C$9, $C$13, 100%, $E$13) + CHOOSE(CONTROL!$C$28, 0.013, 0)</f>
        <v>41.729700000000001</v>
      </c>
      <c r="C623" s="4">
        <f>41.3534 * CHOOSE(CONTROL!$C$9, $C$13, 100%, $E$13) + CHOOSE(CONTROL!$C$28, 0.013, 0)</f>
        <v>41.366399999999999</v>
      </c>
      <c r="D623" s="4">
        <f>58.7221 * CHOOSE(CONTROL!$C$9, $C$13, 100%, $E$13) + CHOOSE(CONTROL!$C$28, 0, 0)</f>
        <v>58.722099999999998</v>
      </c>
      <c r="E623" s="4">
        <f>280.840133746807 * CHOOSE(CONTROL!$C$9, $C$13, 100%, $E$13) + CHOOSE(CONTROL!$C$28, 0, 0)</f>
        <v>280.840133746807</v>
      </c>
    </row>
    <row r="624" spans="1:5" ht="15">
      <c r="A624" s="13">
        <v>60510</v>
      </c>
      <c r="B624" s="4">
        <f>42.697 * CHOOSE(CONTROL!$C$9, $C$13, 100%, $E$13) + CHOOSE(CONTROL!$C$28, 0.013, 0)</f>
        <v>42.71</v>
      </c>
      <c r="C624" s="4">
        <f>42.3337 * CHOOSE(CONTROL!$C$9, $C$13, 100%, $E$13) + CHOOSE(CONTROL!$C$28, 0.013, 0)</f>
        <v>42.346699999999998</v>
      </c>
      <c r="D624" s="4">
        <f>58.1125 * CHOOSE(CONTROL!$C$9, $C$13, 100%, $E$13) + CHOOSE(CONTROL!$C$28, 0, 0)</f>
        <v>58.112499999999997</v>
      </c>
      <c r="E624" s="4">
        <f>287.564034499097 * CHOOSE(CONTROL!$C$9, $C$13, 100%, $E$13) + CHOOSE(CONTROL!$C$28, 0, 0)</f>
        <v>287.56403449909698</v>
      </c>
    </row>
    <row r="625" spans="1:5" ht="15">
      <c r="A625" s="13">
        <v>60540</v>
      </c>
      <c r="B625" s="4">
        <f>41.0263 * CHOOSE(CONTROL!$C$9, $C$13, 100%, $E$13) + CHOOSE(CONTROL!$C$28, 0.013, 0)</f>
        <v>41.039299999999997</v>
      </c>
      <c r="C625" s="4">
        <f>40.663 * CHOOSE(CONTROL!$C$9, $C$13, 100%, $E$13) + CHOOSE(CONTROL!$C$28, 0.013, 0)</f>
        <v>40.675999999999995</v>
      </c>
      <c r="D625" s="4">
        <f>57.8244 * CHOOSE(CONTROL!$C$9, $C$13, 100%, $E$13) + CHOOSE(CONTROL!$C$28, 0, 0)</f>
        <v>57.824399999999997</v>
      </c>
      <c r="E625" s="4">
        <f>276.104363117287 * CHOOSE(CONTROL!$C$9, $C$13, 100%, $E$13) + CHOOSE(CONTROL!$C$28, 0, 0)</f>
        <v>276.10436311728699</v>
      </c>
    </row>
    <row r="626" spans="1:5" ht="15">
      <c r="A626" s="13">
        <v>60571</v>
      </c>
      <c r="B626" s="4">
        <f>39.6889 * CHOOSE(CONTROL!$C$9, $C$13, 100%, $E$13) + CHOOSE(CONTROL!$C$28, 0.0003, 0)</f>
        <v>39.6892</v>
      </c>
      <c r="C626" s="4">
        <f>39.3256 * CHOOSE(CONTROL!$C$9, $C$13, 100%, $E$13) + CHOOSE(CONTROL!$C$28, 0.0003, 0)</f>
        <v>39.325900000000004</v>
      </c>
      <c r="D626" s="4">
        <f>57.0532 * CHOOSE(CONTROL!$C$9, $C$13, 100%, $E$13) + CHOOSE(CONTROL!$C$28, 0, 0)</f>
        <v>57.053199999999997</v>
      </c>
      <c r="E626" s="4">
        <f>266.930669067651 * CHOOSE(CONTROL!$C$9, $C$13, 100%, $E$13) + CHOOSE(CONTROL!$C$28, 0, 0)</f>
        <v>266.93066906765102</v>
      </c>
    </row>
    <row r="627" spans="1:5" ht="15">
      <c r="A627" s="13">
        <v>60601</v>
      </c>
      <c r="B627" s="4">
        <f>38.8275 * CHOOSE(CONTROL!$C$9, $C$13, 100%, $E$13) + CHOOSE(CONTROL!$C$28, 0.0003, 0)</f>
        <v>38.827800000000003</v>
      </c>
      <c r="C627" s="4">
        <f>38.4642 * CHOOSE(CONTROL!$C$9, $C$13, 100%, $E$13) + CHOOSE(CONTROL!$C$28, 0.0003, 0)</f>
        <v>38.464500000000001</v>
      </c>
      <c r="D627" s="4">
        <f>56.788 * CHOOSE(CONTROL!$C$9, $C$13, 100%, $E$13) + CHOOSE(CONTROL!$C$28, 0, 0)</f>
        <v>56.787999999999997</v>
      </c>
      <c r="E627" s="4">
        <f>261.022125051104 * CHOOSE(CONTROL!$C$9, $C$13, 100%, $E$13) + CHOOSE(CONTROL!$C$28, 0, 0)</f>
        <v>261.02212505110401</v>
      </c>
    </row>
    <row r="628" spans="1:5" ht="15">
      <c r="A628" s="13">
        <v>60632</v>
      </c>
      <c r="B628" s="4">
        <f>38.2315 * CHOOSE(CONTROL!$C$9, $C$13, 100%, $E$13) + CHOOSE(CONTROL!$C$28, 0.0003, 0)</f>
        <v>38.2318</v>
      </c>
      <c r="C628" s="4">
        <f>37.8682 * CHOOSE(CONTROL!$C$9, $C$13, 100%, $E$13) + CHOOSE(CONTROL!$C$28, 0.0003, 0)</f>
        <v>37.868500000000004</v>
      </c>
      <c r="D628" s="4">
        <f>54.836 * CHOOSE(CONTROL!$C$9, $C$13, 100%, $E$13) + CHOOSE(CONTROL!$C$28, 0, 0)</f>
        <v>54.835999999999999</v>
      </c>
      <c r="E628" s="4">
        <f>256.934172102037 * CHOOSE(CONTROL!$C$9, $C$13, 100%, $E$13) + CHOOSE(CONTROL!$C$28, 0, 0)</f>
        <v>256.934172102037</v>
      </c>
    </row>
    <row r="629" spans="1:5" ht="15">
      <c r="A629" s="13">
        <v>60663</v>
      </c>
      <c r="B629" s="4">
        <f>36.6009 * CHOOSE(CONTROL!$C$9, $C$13, 100%, $E$13) + CHOOSE(CONTROL!$C$28, 0.0003, 0)</f>
        <v>36.601200000000006</v>
      </c>
      <c r="C629" s="4">
        <f>36.2376 * CHOOSE(CONTROL!$C$9, $C$13, 100%, $E$13) + CHOOSE(CONTROL!$C$28, 0.0003, 0)</f>
        <v>36.237900000000003</v>
      </c>
      <c r="D629" s="4">
        <f>52.6856 * CHOOSE(CONTROL!$C$9, $C$13, 100%, $E$13) + CHOOSE(CONTROL!$C$28, 0, 0)</f>
        <v>52.685600000000001</v>
      </c>
      <c r="E629" s="4">
        <f>246.231819805072 * CHOOSE(CONTROL!$C$9, $C$13, 100%, $E$13) + CHOOSE(CONTROL!$C$28, 0, 0)</f>
        <v>246.23181980507201</v>
      </c>
    </row>
    <row r="630" spans="1:5" ht="15">
      <c r="A630" s="13">
        <v>60691</v>
      </c>
      <c r="B630" s="4">
        <f>37.4516 * CHOOSE(CONTROL!$C$9, $C$13, 100%, $E$13) + CHOOSE(CONTROL!$C$28, 0.0003, 0)</f>
        <v>37.451900000000002</v>
      </c>
      <c r="C630" s="4">
        <f>37.0883 * CHOOSE(CONTROL!$C$9, $C$13, 100%, $E$13) + CHOOSE(CONTROL!$C$28, 0.0003, 0)</f>
        <v>37.0886</v>
      </c>
      <c r="D630" s="4">
        <f>54.4797 * CHOOSE(CONTROL!$C$9, $C$13, 100%, $E$13) + CHOOSE(CONTROL!$C$28, 0, 0)</f>
        <v>54.479700000000001</v>
      </c>
      <c r="E630" s="4">
        <f>252.078333584548 * CHOOSE(CONTROL!$C$9, $C$13, 100%, $E$13) + CHOOSE(CONTROL!$C$28, 0, 0)</f>
        <v>252.07833358454801</v>
      </c>
    </row>
    <row r="631" spans="1:5" ht="15">
      <c r="A631" s="13">
        <v>60722</v>
      </c>
      <c r="B631" s="4">
        <f>39.6855 * CHOOSE(CONTROL!$C$9, $C$13, 100%, $E$13) + CHOOSE(CONTROL!$C$28, 0.0003, 0)</f>
        <v>39.6858</v>
      </c>
      <c r="C631" s="4">
        <f>39.3223 * CHOOSE(CONTROL!$C$9, $C$13, 100%, $E$13) + CHOOSE(CONTROL!$C$28, 0.0003, 0)</f>
        <v>39.322600000000001</v>
      </c>
      <c r="D631" s="4">
        <f>57.2883 * CHOOSE(CONTROL!$C$9, $C$13, 100%, $E$13) + CHOOSE(CONTROL!$C$28, 0, 0)</f>
        <v>57.2883</v>
      </c>
      <c r="E631" s="4">
        <f>267.431589472063 * CHOOSE(CONTROL!$C$9, $C$13, 100%, $E$13) + CHOOSE(CONTROL!$C$28, 0, 0)</f>
        <v>267.43158947206302</v>
      </c>
    </row>
    <row r="632" spans="1:5" ht="15">
      <c r="A632" s="13">
        <v>60752</v>
      </c>
      <c r="B632" s="4">
        <f>41.2728 * CHOOSE(CONTROL!$C$9, $C$13, 100%, $E$13) + CHOOSE(CONTROL!$C$28, 0.0003, 0)</f>
        <v>41.273099999999999</v>
      </c>
      <c r="C632" s="4">
        <f>40.9095 * CHOOSE(CONTROL!$C$9, $C$13, 100%, $E$13) + CHOOSE(CONTROL!$C$28, 0.0003, 0)</f>
        <v>40.909800000000004</v>
      </c>
      <c r="D632" s="4">
        <f>58.9061 * CHOOSE(CONTROL!$C$9, $C$13, 100%, $E$13) + CHOOSE(CONTROL!$C$28, 0, 0)</f>
        <v>58.906100000000002</v>
      </c>
      <c r="E632" s="4">
        <f>278.340282389179 * CHOOSE(CONTROL!$C$9, $C$13, 100%, $E$13) + CHOOSE(CONTROL!$C$28, 0, 0)</f>
        <v>278.34028238917898</v>
      </c>
    </row>
    <row r="633" spans="1:5" ht="15">
      <c r="A633" s="13">
        <v>60783</v>
      </c>
      <c r="B633" s="4">
        <f>42.2426 * CHOOSE(CONTROL!$C$9, $C$13, 100%, $E$13) + CHOOSE(CONTROL!$C$28, 0.013, 0)</f>
        <v>42.255600000000001</v>
      </c>
      <c r="C633" s="4">
        <f>41.8793 * CHOOSE(CONTROL!$C$9, $C$13, 100%, $E$13) + CHOOSE(CONTROL!$C$28, 0.013, 0)</f>
        <v>41.892299999999999</v>
      </c>
      <c r="D633" s="4">
        <f>58.2668 * CHOOSE(CONTROL!$C$9, $C$13, 100%, $E$13) + CHOOSE(CONTROL!$C$28, 0, 0)</f>
        <v>58.266800000000003</v>
      </c>
      <c r="E633" s="4">
        <f>285.005232316656 * CHOOSE(CONTROL!$C$9, $C$13, 100%, $E$13) + CHOOSE(CONTROL!$C$28, 0, 0)</f>
        <v>285.00523231665602</v>
      </c>
    </row>
    <row r="634" spans="1:5" ht="15">
      <c r="A634" s="13">
        <v>60813</v>
      </c>
      <c r="B634" s="4">
        <f>42.3738 * CHOOSE(CONTROL!$C$9, $C$13, 100%, $E$13) + CHOOSE(CONTROL!$C$28, 0.013, 0)</f>
        <v>42.386800000000001</v>
      </c>
      <c r="C634" s="4">
        <f>42.0105 * CHOOSE(CONTROL!$C$9, $C$13, 100%, $E$13) + CHOOSE(CONTROL!$C$28, 0.013, 0)</f>
        <v>42.023499999999999</v>
      </c>
      <c r="D634" s="4">
        <f>58.7875 * CHOOSE(CONTROL!$C$9, $C$13, 100%, $E$13) + CHOOSE(CONTROL!$C$28, 0, 0)</f>
        <v>58.787500000000001</v>
      </c>
      <c r="E634" s="4">
        <f>285.907027701955 * CHOOSE(CONTROL!$C$9, $C$13, 100%, $E$13) + CHOOSE(CONTROL!$C$28, 0, 0)</f>
        <v>285.90702770195497</v>
      </c>
    </row>
    <row r="635" spans="1:5" ht="15">
      <c r="A635" s="13">
        <v>60844</v>
      </c>
      <c r="B635" s="4">
        <f>42.3605 * CHOOSE(CONTROL!$C$9, $C$13, 100%, $E$13) + CHOOSE(CONTROL!$C$28, 0.013, 0)</f>
        <v>42.3735</v>
      </c>
      <c r="C635" s="4">
        <f>41.9973 * CHOOSE(CONTROL!$C$9, $C$13, 100%, $E$13) + CHOOSE(CONTROL!$C$28, 0.013, 0)</f>
        <v>42.010300000000001</v>
      </c>
      <c r="D635" s="4">
        <f>59.7269 * CHOOSE(CONTROL!$C$9, $C$13, 100%, $E$13) + CHOOSE(CONTROL!$C$28, 0, 0)</f>
        <v>59.726900000000001</v>
      </c>
      <c r="E635" s="4">
        <f>285.816090352177 * CHOOSE(CONTROL!$C$9, $C$13, 100%, $E$13) + CHOOSE(CONTROL!$C$28, 0, 0)</f>
        <v>285.81609035217701</v>
      </c>
    </row>
    <row r="636" spans="1:5" ht="15">
      <c r="A636" s="13">
        <v>60875</v>
      </c>
      <c r="B636" s="4">
        <f>43.3562 * CHOOSE(CONTROL!$C$9, $C$13, 100%, $E$13) + CHOOSE(CONTROL!$C$28, 0.013, 0)</f>
        <v>43.369199999999999</v>
      </c>
      <c r="C636" s="4">
        <f>42.9929 * CHOOSE(CONTROL!$C$9, $C$13, 100%, $E$13) + CHOOSE(CONTROL!$C$28, 0.013, 0)</f>
        <v>43.005899999999997</v>
      </c>
      <c r="D636" s="4">
        <f>59.1065 * CHOOSE(CONTROL!$C$9, $C$13, 100%, $E$13) + CHOOSE(CONTROL!$C$28, 0, 0)</f>
        <v>59.106499999999997</v>
      </c>
      <c r="E636" s="4">
        <f>292.659125922969 * CHOOSE(CONTROL!$C$9, $C$13, 100%, $E$13) + CHOOSE(CONTROL!$C$28, 0, 0)</f>
        <v>292.659125922969</v>
      </c>
    </row>
    <row r="637" spans="1:5" ht="15">
      <c r="A637" s="13">
        <v>60905</v>
      </c>
      <c r="B637" s="4">
        <f>41.6593 * CHOOSE(CONTROL!$C$9, $C$13, 100%, $E$13) + CHOOSE(CONTROL!$C$28, 0.013, 0)</f>
        <v>41.6723</v>
      </c>
      <c r="C637" s="4">
        <f>41.296 * CHOOSE(CONTROL!$C$9, $C$13, 100%, $E$13) + CHOOSE(CONTROL!$C$28, 0.013, 0)</f>
        <v>41.308999999999997</v>
      </c>
      <c r="D637" s="4">
        <f>58.8134 * CHOOSE(CONTROL!$C$9, $C$13, 100%, $E$13) + CHOOSE(CONTROL!$C$28, 0, 0)</f>
        <v>58.813400000000001</v>
      </c>
      <c r="E637" s="4">
        <f>280.996410813944 * CHOOSE(CONTROL!$C$9, $C$13, 100%, $E$13) + CHOOSE(CONTROL!$C$28, 0, 0)</f>
        <v>280.99641081394401</v>
      </c>
    </row>
    <row r="638" spans="1:5" ht="15">
      <c r="A638" s="13">
        <v>60936</v>
      </c>
      <c r="B638" s="4">
        <f>40.3008 * CHOOSE(CONTROL!$C$9, $C$13, 100%, $E$13) + CHOOSE(CONTROL!$C$28, 0.0003, 0)</f>
        <v>40.301100000000005</v>
      </c>
      <c r="C638" s="4">
        <f>39.9375 * CHOOSE(CONTROL!$C$9, $C$13, 100%, $E$13) + CHOOSE(CONTROL!$C$28, 0.0003, 0)</f>
        <v>39.937800000000003</v>
      </c>
      <c r="D638" s="4">
        <f>58.0285 * CHOOSE(CONTROL!$C$9, $C$13, 100%, $E$13) + CHOOSE(CONTROL!$C$28, 0, 0)</f>
        <v>58.028500000000001</v>
      </c>
      <c r="E638" s="4">
        <f>271.660176236739 * CHOOSE(CONTROL!$C$9, $C$13, 100%, $E$13) + CHOOSE(CONTROL!$C$28, 0, 0)</f>
        <v>271.66017623673901</v>
      </c>
    </row>
    <row r="639" spans="1:5" ht="15">
      <c r="A639" s="13">
        <v>60966</v>
      </c>
      <c r="B639" s="4">
        <f>39.4259 * CHOOSE(CONTROL!$C$9, $C$13, 100%, $E$13) + CHOOSE(CONTROL!$C$28, 0.0003, 0)</f>
        <v>39.426200000000001</v>
      </c>
      <c r="C639" s="4">
        <f>39.0626 * CHOOSE(CONTROL!$C$9, $C$13, 100%, $E$13) + CHOOSE(CONTROL!$C$28, 0.0003, 0)</f>
        <v>39.062900000000006</v>
      </c>
      <c r="D639" s="4">
        <f>57.7587 * CHOOSE(CONTROL!$C$9, $C$13, 100%, $E$13) + CHOOSE(CONTROL!$C$28, 0, 0)</f>
        <v>57.758699999999997</v>
      </c>
      <c r="E639" s="4">
        <f>265.64694398267 * CHOOSE(CONTROL!$C$9, $C$13, 100%, $E$13) + CHOOSE(CONTROL!$C$28, 0, 0)</f>
        <v>265.64694398267</v>
      </c>
    </row>
    <row r="640" spans="1:5" ht="15">
      <c r="A640" s="13">
        <v>60997</v>
      </c>
      <c r="B640" s="4">
        <f>38.8205 * CHOOSE(CONTROL!$C$9, $C$13, 100%, $E$13) + CHOOSE(CONTROL!$C$28, 0.0003, 0)</f>
        <v>38.820800000000006</v>
      </c>
      <c r="C640" s="4">
        <f>38.4572 * CHOOSE(CONTROL!$C$9, $C$13, 100%, $E$13) + CHOOSE(CONTROL!$C$28, 0.0003, 0)</f>
        <v>38.457500000000003</v>
      </c>
      <c r="D640" s="4">
        <f>55.7721 * CHOOSE(CONTROL!$C$9, $C$13, 100%, $E$13) + CHOOSE(CONTROL!$C$28, 0, 0)</f>
        <v>55.772100000000002</v>
      </c>
      <c r="E640" s="4">
        <f>261.486560230328 * CHOOSE(CONTROL!$C$9, $C$13, 100%, $E$13) + CHOOSE(CONTROL!$C$28, 0, 0)</f>
        <v>261.486560230328</v>
      </c>
    </row>
    <row r="641" spans="1:5" ht="15">
      <c r="A641" s="13">
        <v>61028</v>
      </c>
      <c r="B641" s="4">
        <f>37.1643 * CHOOSE(CONTROL!$C$9, $C$13, 100%, $E$13) + CHOOSE(CONTROL!$C$28, 0.0003, 0)</f>
        <v>37.1646</v>
      </c>
      <c r="C641" s="4">
        <f>36.801 * CHOOSE(CONTROL!$C$9, $C$13, 100%, $E$13) + CHOOSE(CONTROL!$C$28, 0.0003, 0)</f>
        <v>36.801300000000005</v>
      </c>
      <c r="D641" s="4">
        <f>53.5837 * CHOOSE(CONTROL!$C$9, $C$13, 100%, $E$13) + CHOOSE(CONTROL!$C$28, 0, 0)</f>
        <v>53.5837</v>
      </c>
      <c r="E641" s="4">
        <f>250.594582469599 * CHOOSE(CONTROL!$C$9, $C$13, 100%, $E$13) + CHOOSE(CONTROL!$C$28, 0, 0)</f>
        <v>250.594582469599</v>
      </c>
    </row>
    <row r="642" spans="1:5" ht="15">
      <c r="A642" s="13">
        <v>61056</v>
      </c>
      <c r="B642" s="4">
        <f>38.0284 * CHOOSE(CONTROL!$C$9, $C$13, 100%, $E$13) + CHOOSE(CONTROL!$C$28, 0.0003, 0)</f>
        <v>38.028700000000001</v>
      </c>
      <c r="C642" s="4">
        <f>37.6651 * CHOOSE(CONTROL!$C$9, $C$13, 100%, $E$13) + CHOOSE(CONTROL!$C$28, 0.0003, 0)</f>
        <v>37.665400000000005</v>
      </c>
      <c r="D642" s="4">
        <f>55.4096 * CHOOSE(CONTROL!$C$9, $C$13, 100%, $E$13) + CHOOSE(CONTROL!$C$28, 0, 0)</f>
        <v>55.409599999999998</v>
      </c>
      <c r="E642" s="4">
        <f>256.544685427983 * CHOOSE(CONTROL!$C$9, $C$13, 100%, $E$13) + CHOOSE(CONTROL!$C$28, 0, 0)</f>
        <v>256.54468542798298</v>
      </c>
    </row>
    <row r="643" spans="1:5" ht="15">
      <c r="A643" s="13">
        <v>61087</v>
      </c>
      <c r="B643" s="4">
        <f>40.2974 * CHOOSE(CONTROL!$C$9, $C$13, 100%, $E$13) + CHOOSE(CONTROL!$C$28, 0.0003, 0)</f>
        <v>40.297700000000006</v>
      </c>
      <c r="C643" s="4">
        <f>39.9341 * CHOOSE(CONTROL!$C$9, $C$13, 100%, $E$13) + CHOOSE(CONTROL!$C$28, 0.0003, 0)</f>
        <v>39.934400000000004</v>
      </c>
      <c r="D643" s="4">
        <f>58.2678 * CHOOSE(CONTROL!$C$9, $C$13, 100%, $E$13) + CHOOSE(CONTROL!$C$28, 0, 0)</f>
        <v>58.267800000000001</v>
      </c>
      <c r="E643" s="4">
        <f>272.169972004375 * CHOOSE(CONTROL!$C$9, $C$13, 100%, $E$13) + CHOOSE(CONTROL!$C$28, 0, 0)</f>
        <v>272.16997200437498</v>
      </c>
    </row>
    <row r="644" spans="1:5" ht="15">
      <c r="A644" s="13">
        <v>61117</v>
      </c>
      <c r="B644" s="4">
        <f>41.9096 * CHOOSE(CONTROL!$C$9, $C$13, 100%, $E$13) + CHOOSE(CONTROL!$C$28, 0.0003, 0)</f>
        <v>41.9099</v>
      </c>
      <c r="C644" s="4">
        <f>41.5464 * CHOOSE(CONTROL!$C$9, $C$13, 100%, $E$13) + CHOOSE(CONTROL!$C$28, 0.0003, 0)</f>
        <v>41.546700000000001</v>
      </c>
      <c r="D644" s="4">
        <f>59.9142 * CHOOSE(CONTROL!$C$9, $C$13, 100%, $E$13) + CHOOSE(CONTROL!$C$28, 0, 0)</f>
        <v>59.914200000000001</v>
      </c>
      <c r="E644" s="4">
        <f>283.271946351224 * CHOOSE(CONTROL!$C$9, $C$13, 100%, $E$13) + CHOOSE(CONTROL!$C$28, 0, 0)</f>
        <v>283.27194635122402</v>
      </c>
    </row>
    <row r="645" spans="1:5" ht="15">
      <c r="A645" s="13">
        <v>61148</v>
      </c>
      <c r="B645" s="4">
        <f>42.8947 * CHOOSE(CONTROL!$C$9, $C$13, 100%, $E$13) + CHOOSE(CONTROL!$C$28, 0.013, 0)</f>
        <v>42.907699999999998</v>
      </c>
      <c r="C645" s="4">
        <f>42.5314 * CHOOSE(CONTROL!$C$9, $C$13, 100%, $E$13) + CHOOSE(CONTROL!$C$28, 0.013, 0)</f>
        <v>42.544399999999996</v>
      </c>
      <c r="D645" s="4">
        <f>59.2636 * CHOOSE(CONTROL!$C$9, $C$13, 100%, $E$13) + CHOOSE(CONTROL!$C$28, 0, 0)</f>
        <v>59.263599999999997</v>
      </c>
      <c r="E645" s="4">
        <f>290.054986599959 * CHOOSE(CONTROL!$C$9, $C$13, 100%, $E$13) + CHOOSE(CONTROL!$C$28, 0, 0)</f>
        <v>290.05498659995902</v>
      </c>
    </row>
    <row r="646" spans="1:5" ht="15">
      <c r="A646" s="13">
        <v>61178</v>
      </c>
      <c r="B646" s="4">
        <f>43.0279 * CHOOSE(CONTROL!$C$9, $C$13, 100%, $E$13) + CHOOSE(CONTROL!$C$28, 0.013, 0)</f>
        <v>43.040900000000001</v>
      </c>
      <c r="C646" s="4">
        <f>42.6647 * CHOOSE(CONTROL!$C$9, $C$13, 100%, $E$13) + CHOOSE(CONTROL!$C$28, 0.013, 0)</f>
        <v>42.677700000000002</v>
      </c>
      <c r="D646" s="4">
        <f>59.7934 * CHOOSE(CONTROL!$C$9, $C$13, 100%, $E$13) + CHOOSE(CONTROL!$C$28, 0, 0)</f>
        <v>59.793399999999998</v>
      </c>
      <c r="E646" s="4">
        <f>290.972760095808 * CHOOSE(CONTROL!$C$9, $C$13, 100%, $E$13) + CHOOSE(CONTROL!$C$28, 0, 0)</f>
        <v>290.97276009580798</v>
      </c>
    </row>
    <row r="647" spans="1:5" ht="15">
      <c r="A647" s="13">
        <v>61209</v>
      </c>
      <c r="B647" s="4">
        <f>43.0145 * CHOOSE(CONTROL!$C$9, $C$13, 100%, $E$13) + CHOOSE(CONTROL!$C$28, 0.013, 0)</f>
        <v>43.027499999999996</v>
      </c>
      <c r="C647" s="4">
        <f>42.6512 * CHOOSE(CONTROL!$C$9, $C$13, 100%, $E$13) + CHOOSE(CONTROL!$C$28, 0.013, 0)</f>
        <v>42.664200000000001</v>
      </c>
      <c r="D647" s="4">
        <f>60.7495 * CHOOSE(CONTROL!$C$9, $C$13, 100%, $E$13) + CHOOSE(CONTROL!$C$28, 0, 0)</f>
        <v>60.749499999999998</v>
      </c>
      <c r="E647" s="4">
        <f>290.880211507991 * CHOOSE(CONTROL!$C$9, $C$13, 100%, $E$13) + CHOOSE(CONTROL!$C$28, 0, 0)</f>
        <v>290.88021150799102</v>
      </c>
    </row>
    <row r="648" spans="1:5" ht="15">
      <c r="A648" s="13">
        <v>61240</v>
      </c>
      <c r="B648" s="4">
        <f>44.0258 * CHOOSE(CONTROL!$C$9, $C$13, 100%, $E$13) + CHOOSE(CONTROL!$C$28, 0.013, 0)</f>
        <v>44.038799999999995</v>
      </c>
      <c r="C648" s="4">
        <f>43.6626 * CHOOSE(CONTROL!$C$9, $C$13, 100%, $E$13) + CHOOSE(CONTROL!$C$28, 0.013, 0)</f>
        <v>43.675599999999996</v>
      </c>
      <c r="D648" s="4">
        <f>60.1181 * CHOOSE(CONTROL!$C$9, $C$13, 100%, $E$13) + CHOOSE(CONTROL!$C$28, 0, 0)</f>
        <v>60.118099999999998</v>
      </c>
      <c r="E648" s="4">
        <f>297.8444927412 * CHOOSE(CONTROL!$C$9, $C$13, 100%, $E$13) + CHOOSE(CONTROL!$C$28, 0, 0)</f>
        <v>297.84449274119999</v>
      </c>
    </row>
    <row r="649" spans="1:5" ht="15">
      <c r="A649" s="13">
        <v>61270</v>
      </c>
      <c r="B649" s="4">
        <f>42.3022 * CHOOSE(CONTROL!$C$9, $C$13, 100%, $E$13) + CHOOSE(CONTROL!$C$28, 0.013, 0)</f>
        <v>42.315199999999997</v>
      </c>
      <c r="C649" s="4">
        <f>41.9389 * CHOOSE(CONTROL!$C$9, $C$13, 100%, $E$13) + CHOOSE(CONTROL!$C$28, 0.013, 0)</f>
        <v>41.951899999999995</v>
      </c>
      <c r="D649" s="4">
        <f>59.8198 * CHOOSE(CONTROL!$C$9, $C$13, 100%, $E$13) + CHOOSE(CONTROL!$C$28, 0, 0)</f>
        <v>59.819800000000001</v>
      </c>
      <c r="E649" s="4">
        <f>285.975136353704 * CHOOSE(CONTROL!$C$9, $C$13, 100%, $E$13) + CHOOSE(CONTROL!$C$28, 0, 0)</f>
        <v>285.97513635370399</v>
      </c>
    </row>
    <row r="650" spans="1:5" ht="15">
      <c r="A650" s="13">
        <v>61301</v>
      </c>
      <c r="B650" s="4">
        <f>40.9224 * CHOOSE(CONTROL!$C$9, $C$13, 100%, $E$13) + CHOOSE(CONTROL!$C$28, 0.0003, 0)</f>
        <v>40.922700000000006</v>
      </c>
      <c r="C650" s="4">
        <f>40.5591 * CHOOSE(CONTROL!$C$9, $C$13, 100%, $E$13) + CHOOSE(CONTROL!$C$28, 0.0003, 0)</f>
        <v>40.559400000000004</v>
      </c>
      <c r="D650" s="4">
        <f>59.0211 * CHOOSE(CONTROL!$C$9, $C$13, 100%, $E$13) + CHOOSE(CONTROL!$C$28, 0, 0)</f>
        <v>59.021099999999997</v>
      </c>
      <c r="E650" s="4">
        <f>276.473481337853 * CHOOSE(CONTROL!$C$9, $C$13, 100%, $E$13) + CHOOSE(CONTROL!$C$28, 0, 0)</f>
        <v>276.473481337853</v>
      </c>
    </row>
    <row r="651" spans="1:5" ht="15">
      <c r="A651" s="13">
        <v>61331</v>
      </c>
      <c r="B651" s="4">
        <f>40.0337 * CHOOSE(CONTROL!$C$9, $C$13, 100%, $E$13) + CHOOSE(CONTROL!$C$28, 0.0003, 0)</f>
        <v>40.034000000000006</v>
      </c>
      <c r="C651" s="4">
        <f>39.6704 * CHOOSE(CONTROL!$C$9, $C$13, 100%, $E$13) + CHOOSE(CONTROL!$C$28, 0.0003, 0)</f>
        <v>39.670700000000004</v>
      </c>
      <c r="D651" s="4">
        <f>58.7465 * CHOOSE(CONTROL!$C$9, $C$13, 100%, $E$13) + CHOOSE(CONTROL!$C$28, 0, 0)</f>
        <v>58.746499999999997</v>
      </c>
      <c r="E651" s="4">
        <f>270.353705968472 * CHOOSE(CONTROL!$C$9, $C$13, 100%, $E$13) + CHOOSE(CONTROL!$C$28, 0, 0)</f>
        <v>270.35370596847201</v>
      </c>
    </row>
    <row r="652" spans="1:5" ht="15">
      <c r="A652" s="13">
        <v>61362</v>
      </c>
      <c r="B652" s="4">
        <f>39.4188 * CHOOSE(CONTROL!$C$9, $C$13, 100%, $E$13) + CHOOSE(CONTROL!$C$28, 0.0003, 0)</f>
        <v>39.4191</v>
      </c>
      <c r="C652" s="4">
        <f>39.0555 * CHOOSE(CONTROL!$C$9, $C$13, 100%, $E$13) + CHOOSE(CONTROL!$C$28, 0.0003, 0)</f>
        <v>39.055800000000005</v>
      </c>
      <c r="D652" s="4">
        <f>56.7248 * CHOOSE(CONTROL!$C$9, $C$13, 100%, $E$13) + CHOOSE(CONTROL!$C$28, 0, 0)</f>
        <v>56.724800000000002</v>
      </c>
      <c r="E652" s="4">
        <f>266.119608075856 * CHOOSE(CONTROL!$C$9, $C$13, 100%, $E$13) + CHOOSE(CONTROL!$C$28, 0, 0)</f>
        <v>266.11960807585598</v>
      </c>
    </row>
    <row r="653" spans="1:5" ht="15">
      <c r="A653" s="13">
        <v>61393</v>
      </c>
      <c r="B653" s="4">
        <f>37.7365 * CHOOSE(CONTROL!$C$9, $C$13, 100%, $E$13) + CHOOSE(CONTROL!$C$28, 0.0003, 0)</f>
        <v>37.736800000000002</v>
      </c>
      <c r="C653" s="4">
        <f>37.3733 * CHOOSE(CONTROL!$C$9, $C$13, 100%, $E$13) + CHOOSE(CONTROL!$C$28, 0.0003, 0)</f>
        <v>37.373600000000003</v>
      </c>
      <c r="D653" s="4">
        <f>54.4978 * CHOOSE(CONTROL!$C$9, $C$13, 100%, $E$13) + CHOOSE(CONTROL!$C$28, 0, 0)</f>
        <v>54.497799999999998</v>
      </c>
      <c r="E653" s="4">
        <f>255.034645046388 * CHOOSE(CONTROL!$C$9, $C$13, 100%, $E$13) + CHOOSE(CONTROL!$C$28, 0, 0)</f>
        <v>255.03464504638799</v>
      </c>
    </row>
    <row r="654" spans="1:5" ht="15">
      <c r="A654" s="13">
        <v>61422</v>
      </c>
      <c r="B654" s="4">
        <f>38.6142 * CHOOSE(CONTROL!$C$9, $C$13, 100%, $E$13) + CHOOSE(CONTROL!$C$28, 0.0003, 0)</f>
        <v>38.6145</v>
      </c>
      <c r="C654" s="4">
        <f>38.2509 * CHOOSE(CONTROL!$C$9, $C$13, 100%, $E$13) + CHOOSE(CONTROL!$C$28, 0.0003, 0)</f>
        <v>38.251200000000004</v>
      </c>
      <c r="D654" s="4">
        <f>56.3558 * CHOOSE(CONTROL!$C$9, $C$13, 100%, $E$13) + CHOOSE(CONTROL!$C$28, 0, 0)</f>
        <v>56.355800000000002</v>
      </c>
      <c r="E654" s="4">
        <f>261.09017258823 * CHOOSE(CONTROL!$C$9, $C$13, 100%, $E$13) + CHOOSE(CONTROL!$C$28, 0, 0)</f>
        <v>261.09017258823002</v>
      </c>
    </row>
    <row r="655" spans="1:5" ht="15">
      <c r="A655" s="13">
        <v>61453</v>
      </c>
      <c r="B655" s="4">
        <f>40.9189 * CHOOSE(CONTROL!$C$9, $C$13, 100%, $E$13) + CHOOSE(CONTROL!$C$28, 0.0003, 0)</f>
        <v>40.919200000000004</v>
      </c>
      <c r="C655" s="4">
        <f>40.5557 * CHOOSE(CONTROL!$C$9, $C$13, 100%, $E$13) + CHOOSE(CONTROL!$C$28, 0.0003, 0)</f>
        <v>40.556000000000004</v>
      </c>
      <c r="D655" s="4">
        <f>59.2645 * CHOOSE(CONTROL!$C$9, $C$13, 100%, $E$13) + CHOOSE(CONTROL!$C$28, 0, 0)</f>
        <v>59.264499999999998</v>
      </c>
      <c r="E655" s="4">
        <f>276.992309723383 * CHOOSE(CONTROL!$C$9, $C$13, 100%, $E$13) + CHOOSE(CONTROL!$C$28, 0, 0)</f>
        <v>276.99230972338302</v>
      </c>
    </row>
    <row r="656" spans="1:5" ht="15">
      <c r="A656" s="13">
        <v>61483</v>
      </c>
      <c r="B656" s="4">
        <f>42.5565 * CHOOSE(CONTROL!$C$9, $C$13, 100%, $E$13) + CHOOSE(CONTROL!$C$28, 0.0003, 0)</f>
        <v>42.556800000000003</v>
      </c>
      <c r="C656" s="4">
        <f>42.1932 * CHOOSE(CONTROL!$C$9, $C$13, 100%, $E$13) + CHOOSE(CONTROL!$C$28, 0.0003, 0)</f>
        <v>42.1935</v>
      </c>
      <c r="D656" s="4">
        <f>60.94 * CHOOSE(CONTROL!$C$9, $C$13, 100%, $E$13) + CHOOSE(CONTROL!$C$28, 0, 0)</f>
        <v>60.94</v>
      </c>
      <c r="E656" s="4">
        <f>288.290990081751 * CHOOSE(CONTROL!$C$9, $C$13, 100%, $E$13) + CHOOSE(CONTROL!$C$28, 0, 0)</f>
        <v>288.29099008175098</v>
      </c>
    </row>
    <row r="657" spans="1:5" ht="15">
      <c r="A657" s="13">
        <v>61514</v>
      </c>
      <c r="B657" s="4">
        <f>43.557 * CHOOSE(CONTROL!$C$9, $C$13, 100%, $E$13) + CHOOSE(CONTROL!$C$28, 0.013, 0)</f>
        <v>43.57</v>
      </c>
      <c r="C657" s="4">
        <f>43.1937 * CHOOSE(CONTROL!$C$9, $C$13, 100%, $E$13) + CHOOSE(CONTROL!$C$28, 0.013, 0)</f>
        <v>43.206699999999998</v>
      </c>
      <c r="D657" s="4">
        <f>60.278 * CHOOSE(CONTROL!$C$9, $C$13, 100%, $E$13) + CHOOSE(CONTROL!$C$28, 0, 0)</f>
        <v>60.277999999999999</v>
      </c>
      <c r="E657" s="4">
        <f>295.194212989139 * CHOOSE(CONTROL!$C$9, $C$13, 100%, $E$13) + CHOOSE(CONTROL!$C$28, 0, 0)</f>
        <v>295.19421298913898</v>
      </c>
    </row>
    <row r="658" spans="1:5" ht="15">
      <c r="A658" s="13">
        <v>61544</v>
      </c>
      <c r="B658" s="4">
        <f>43.6924 * CHOOSE(CONTROL!$C$9, $C$13, 100%, $E$13) + CHOOSE(CONTROL!$C$28, 0.013, 0)</f>
        <v>43.705399999999997</v>
      </c>
      <c r="C658" s="4">
        <f>43.3291 * CHOOSE(CONTROL!$C$9, $C$13, 100%, $E$13) + CHOOSE(CONTROL!$C$28, 0.013, 0)</f>
        <v>43.342099999999995</v>
      </c>
      <c r="D658" s="4">
        <f>60.8172 * CHOOSE(CONTROL!$C$9, $C$13, 100%, $E$13) + CHOOSE(CONTROL!$C$28, 0, 0)</f>
        <v>60.8172</v>
      </c>
      <c r="E658" s="4">
        <f>296.128247697472 * CHOOSE(CONTROL!$C$9, $C$13, 100%, $E$13) + CHOOSE(CONTROL!$C$28, 0, 0)</f>
        <v>296.12824769747198</v>
      </c>
    </row>
    <row r="659" spans="1:5" ht="15">
      <c r="A659" s="13">
        <v>61575</v>
      </c>
      <c r="B659" s="4">
        <f>43.6787 * CHOOSE(CONTROL!$C$9, $C$13, 100%, $E$13) + CHOOSE(CONTROL!$C$28, 0.013, 0)</f>
        <v>43.691699999999997</v>
      </c>
      <c r="C659" s="4">
        <f>43.3154 * CHOOSE(CONTROL!$C$9, $C$13, 100%, $E$13) + CHOOSE(CONTROL!$C$28, 0.013, 0)</f>
        <v>43.328399999999995</v>
      </c>
      <c r="D659" s="4">
        <f>61.7901 * CHOOSE(CONTROL!$C$9, $C$13, 100%, $E$13) + CHOOSE(CONTROL!$C$28, 0, 0)</f>
        <v>61.790100000000002</v>
      </c>
      <c r="E659" s="4">
        <f>296.034059323523 * CHOOSE(CONTROL!$C$9, $C$13, 100%, $E$13) + CHOOSE(CONTROL!$C$28, 0, 0)</f>
        <v>296.03405932352302</v>
      </c>
    </row>
    <row r="660" spans="1:5" ht="15">
      <c r="A660" s="13">
        <v>61606</v>
      </c>
      <c r="B660" s="4">
        <f>44.706 * CHOOSE(CONTROL!$C$9, $C$13, 100%, $E$13) + CHOOSE(CONTROL!$C$28, 0.013, 0)</f>
        <v>44.719000000000001</v>
      </c>
      <c r="C660" s="4">
        <f>44.3427 * CHOOSE(CONTROL!$C$9, $C$13, 100%, $E$13) + CHOOSE(CONTROL!$C$28, 0.013, 0)</f>
        <v>44.355699999999999</v>
      </c>
      <c r="D660" s="4">
        <f>61.1476 * CHOOSE(CONTROL!$C$9, $C$13, 100%, $E$13) + CHOOSE(CONTROL!$C$28, 0, 0)</f>
        <v>61.147599999999997</v>
      </c>
      <c r="E660" s="4">
        <f>303.121734463229 * CHOOSE(CONTROL!$C$9, $C$13, 100%, $E$13) + CHOOSE(CONTROL!$C$28, 0, 0)</f>
        <v>303.12173446322902</v>
      </c>
    </row>
    <row r="661" spans="1:5" ht="15">
      <c r="A661" s="13">
        <v>61636</v>
      </c>
      <c r="B661" s="4">
        <f>42.9552 * CHOOSE(CONTROL!$C$9, $C$13, 100%, $E$13) + CHOOSE(CONTROL!$C$28, 0.013, 0)</f>
        <v>42.968199999999996</v>
      </c>
      <c r="C661" s="4">
        <f>42.5919 * CHOOSE(CONTROL!$C$9, $C$13, 100%, $E$13) + CHOOSE(CONTROL!$C$28, 0.013, 0)</f>
        <v>42.604900000000001</v>
      </c>
      <c r="D661" s="4">
        <f>60.844 * CHOOSE(CONTROL!$C$9, $C$13, 100%, $E$13) + CHOOSE(CONTROL!$C$28, 0, 0)</f>
        <v>60.844000000000001</v>
      </c>
      <c r="E661" s="4">
        <f>291.042075504195 * CHOOSE(CONTROL!$C$9, $C$13, 100%, $E$13) + CHOOSE(CONTROL!$C$28, 0, 0)</f>
        <v>291.042075504195</v>
      </c>
    </row>
    <row r="662" spans="1:5" ht="15">
      <c r="A662" s="13">
        <v>61667</v>
      </c>
      <c r="B662" s="4">
        <f>41.5537 * CHOOSE(CONTROL!$C$9, $C$13, 100%, $E$13) + CHOOSE(CONTROL!$C$28, 0.0003, 0)</f>
        <v>41.554000000000002</v>
      </c>
      <c r="C662" s="4">
        <f>41.1904 * CHOOSE(CONTROL!$C$9, $C$13, 100%, $E$13) + CHOOSE(CONTROL!$C$28, 0.0003, 0)</f>
        <v>41.1907</v>
      </c>
      <c r="D662" s="4">
        <f>60.0311 * CHOOSE(CONTROL!$C$9, $C$13, 100%, $E$13) + CHOOSE(CONTROL!$C$28, 0, 0)</f>
        <v>60.031100000000002</v>
      </c>
      <c r="E662" s="4">
        <f>281.372069112039 * CHOOSE(CONTROL!$C$9, $C$13, 100%, $E$13) + CHOOSE(CONTROL!$C$28, 0, 0)</f>
        <v>281.37206911203901</v>
      </c>
    </row>
    <row r="663" spans="1:5" ht="15">
      <c r="A663" s="13">
        <v>61697</v>
      </c>
      <c r="B663" s="4">
        <f>40.651 * CHOOSE(CONTROL!$C$9, $C$13, 100%, $E$13) + CHOOSE(CONTROL!$C$28, 0.0003, 0)</f>
        <v>40.651300000000006</v>
      </c>
      <c r="C663" s="4">
        <f>40.2878 * CHOOSE(CONTROL!$C$9, $C$13, 100%, $E$13) + CHOOSE(CONTROL!$C$28, 0.0003, 0)</f>
        <v>40.2881</v>
      </c>
      <c r="D663" s="4">
        <f>59.7517 * CHOOSE(CONTROL!$C$9, $C$13, 100%, $E$13) + CHOOSE(CONTROL!$C$28, 0, 0)</f>
        <v>59.7517</v>
      </c>
      <c r="E663" s="4">
        <f>275.143862884623 * CHOOSE(CONTROL!$C$9, $C$13, 100%, $E$13) + CHOOSE(CONTROL!$C$28, 0, 0)</f>
        <v>275.14386288462299</v>
      </c>
    </row>
    <row r="664" spans="1:5" ht="15">
      <c r="A664" s="13">
        <v>61728</v>
      </c>
      <c r="B664" s="4">
        <f>40.0265 * CHOOSE(CONTROL!$C$9, $C$13, 100%, $E$13) + CHOOSE(CONTROL!$C$28, 0.0003, 0)</f>
        <v>40.026800000000001</v>
      </c>
      <c r="C664" s="4">
        <f>39.6632 * CHOOSE(CONTROL!$C$9, $C$13, 100%, $E$13) + CHOOSE(CONTROL!$C$28, 0.0003, 0)</f>
        <v>39.663500000000006</v>
      </c>
      <c r="D664" s="4">
        <f>57.6943 * CHOOSE(CONTROL!$C$9, $C$13, 100%, $E$13) + CHOOSE(CONTROL!$C$28, 0, 0)</f>
        <v>57.694299999999998</v>
      </c>
      <c r="E664" s="4">
        <f>270.83474477643 * CHOOSE(CONTROL!$C$9, $C$13, 100%, $E$13) + CHOOSE(CONTROL!$C$28, 0, 0)</f>
        <v>270.83474477643</v>
      </c>
    </row>
    <row r="665" spans="1:5" ht="15">
      <c r="A665" s="13">
        <v>61759</v>
      </c>
      <c r="B665" s="4">
        <f>38.3178 * CHOOSE(CONTROL!$C$9, $C$13, 100%, $E$13) + CHOOSE(CONTROL!$C$28, 0.0003, 0)</f>
        <v>38.318100000000001</v>
      </c>
      <c r="C665" s="4">
        <f>37.9545 * CHOOSE(CONTROL!$C$9, $C$13, 100%, $E$13) + CHOOSE(CONTROL!$C$28, 0.0003, 0)</f>
        <v>37.954800000000006</v>
      </c>
      <c r="D665" s="4">
        <f>55.4279 * CHOOSE(CONTROL!$C$9, $C$13, 100%, $E$13) + CHOOSE(CONTROL!$C$28, 0, 0)</f>
        <v>55.427900000000001</v>
      </c>
      <c r="E665" s="4">
        <f>259.553377143848 * CHOOSE(CONTROL!$C$9, $C$13, 100%, $E$13) + CHOOSE(CONTROL!$C$28, 0, 0)</f>
        <v>259.55337714384802</v>
      </c>
    </row>
    <row r="666" spans="1:5" ht="15">
      <c r="A666" s="13">
        <v>61787</v>
      </c>
      <c r="B666" s="4">
        <f>39.2092 * CHOOSE(CONTROL!$C$9, $C$13, 100%, $E$13) + CHOOSE(CONTROL!$C$28, 0.0003, 0)</f>
        <v>39.209500000000006</v>
      </c>
      <c r="C666" s="4">
        <f>38.8459 * CHOOSE(CONTROL!$C$9, $C$13, 100%, $E$13) + CHOOSE(CONTROL!$C$28, 0.0003, 0)</f>
        <v>38.846200000000003</v>
      </c>
      <c r="D666" s="4">
        <f>57.3188 * CHOOSE(CONTROL!$C$9, $C$13, 100%, $E$13) + CHOOSE(CONTROL!$C$28, 0, 0)</f>
        <v>57.318800000000003</v>
      </c>
      <c r="E666" s="4">
        <f>265.716197193598 * CHOOSE(CONTROL!$C$9, $C$13, 100%, $E$13) + CHOOSE(CONTROL!$C$28, 0, 0)</f>
        <v>265.71619719359802</v>
      </c>
    </row>
    <row r="667" spans="1:5" ht="15">
      <c r="A667" s="13">
        <v>61818</v>
      </c>
      <c r="B667" s="4">
        <f>41.5502 * CHOOSE(CONTROL!$C$9, $C$13, 100%, $E$13) + CHOOSE(CONTROL!$C$28, 0.0003, 0)</f>
        <v>41.5505</v>
      </c>
      <c r="C667" s="4">
        <f>41.1869 * CHOOSE(CONTROL!$C$9, $C$13, 100%, $E$13) + CHOOSE(CONTROL!$C$28, 0.0003, 0)</f>
        <v>41.187200000000004</v>
      </c>
      <c r="D667" s="4">
        <f>60.2789 * CHOOSE(CONTROL!$C$9, $C$13, 100%, $E$13) + CHOOSE(CONTROL!$C$28, 0, 0)</f>
        <v>60.2789</v>
      </c>
      <c r="E667" s="4">
        <f>281.900090156387 * CHOOSE(CONTROL!$C$9, $C$13, 100%, $E$13) + CHOOSE(CONTROL!$C$28, 0, 0)</f>
        <v>281.90009015638702</v>
      </c>
    </row>
    <row r="668" spans="1:5" ht="15">
      <c r="A668" s="13">
        <v>61848</v>
      </c>
      <c r="B668" s="4">
        <f>43.2135 * CHOOSE(CONTROL!$C$9, $C$13, 100%, $E$13) + CHOOSE(CONTROL!$C$28, 0.0003, 0)</f>
        <v>43.213800000000006</v>
      </c>
      <c r="C668" s="4">
        <f>42.8503 * CHOOSE(CONTROL!$C$9, $C$13, 100%, $E$13) + CHOOSE(CONTROL!$C$28, 0.0003, 0)</f>
        <v>42.8506</v>
      </c>
      <c r="D668" s="4">
        <f>61.984 * CHOOSE(CONTROL!$C$9, $C$13, 100%, $E$13) + CHOOSE(CONTROL!$C$28, 0, 0)</f>
        <v>61.984000000000002</v>
      </c>
      <c r="E668" s="4">
        <f>293.398961785181 * CHOOSE(CONTROL!$C$9, $C$13, 100%, $E$13) + CHOOSE(CONTROL!$C$28, 0, 0)</f>
        <v>293.39896178518097</v>
      </c>
    </row>
    <row r="669" spans="1:5" ht="15">
      <c r="A669" s="13">
        <v>61879</v>
      </c>
      <c r="B669" s="4">
        <f>44.2298 * CHOOSE(CONTROL!$C$9, $C$13, 100%, $E$13) + CHOOSE(CONTROL!$C$28, 0.013, 0)</f>
        <v>44.242799999999995</v>
      </c>
      <c r="C669" s="4">
        <f>43.8665 * CHOOSE(CONTROL!$C$9, $C$13, 100%, $E$13) + CHOOSE(CONTROL!$C$28, 0.013, 0)</f>
        <v>43.8795</v>
      </c>
      <c r="D669" s="4">
        <f>61.3102 * CHOOSE(CONTROL!$C$9, $C$13, 100%, $E$13) + CHOOSE(CONTROL!$C$28, 0, 0)</f>
        <v>61.310200000000002</v>
      </c>
      <c r="E669" s="4">
        <f>300.424496760883 * CHOOSE(CONTROL!$C$9, $C$13, 100%, $E$13) + CHOOSE(CONTROL!$C$28, 0, 0)</f>
        <v>300.42449676088302</v>
      </c>
    </row>
    <row r="670" spans="1:5" ht="15">
      <c r="A670" s="13">
        <v>61909</v>
      </c>
      <c r="B670" s="4">
        <f>44.3673 * CHOOSE(CONTROL!$C$9, $C$13, 100%, $E$13) + CHOOSE(CONTROL!$C$28, 0.013, 0)</f>
        <v>44.380299999999998</v>
      </c>
      <c r="C670" s="4">
        <f>44.004 * CHOOSE(CONTROL!$C$9, $C$13, 100%, $E$13) + CHOOSE(CONTROL!$C$28, 0.013, 0)</f>
        <v>44.016999999999996</v>
      </c>
      <c r="D670" s="4">
        <f>61.859 * CHOOSE(CONTROL!$C$9, $C$13, 100%, $E$13) + CHOOSE(CONTROL!$C$28, 0, 0)</f>
        <v>61.859000000000002</v>
      </c>
      <c r="E670" s="4">
        <f>301.375080799665 * CHOOSE(CONTROL!$C$9, $C$13, 100%, $E$13) + CHOOSE(CONTROL!$C$28, 0, 0)</f>
        <v>301.375080799665</v>
      </c>
    </row>
    <row r="671" spans="1:5" ht="15">
      <c r="A671" s="13">
        <v>61940</v>
      </c>
      <c r="B671" s="4">
        <f>44.3534 * CHOOSE(CONTROL!$C$9, $C$13, 100%, $E$13) + CHOOSE(CONTROL!$C$28, 0.013, 0)</f>
        <v>44.366399999999999</v>
      </c>
      <c r="C671" s="4">
        <f>43.9901 * CHOOSE(CONTROL!$C$9, $C$13, 100%, $E$13) + CHOOSE(CONTROL!$C$28, 0.013, 0)</f>
        <v>44.003099999999996</v>
      </c>
      <c r="D671" s="4">
        <f>62.8491 * CHOOSE(CONTROL!$C$9, $C$13, 100%, $E$13) + CHOOSE(CONTROL!$C$28, 0, 0)</f>
        <v>62.8491</v>
      </c>
      <c r="E671" s="4">
        <f>301.27922358567 * CHOOSE(CONTROL!$C$9, $C$13, 100%, $E$13) + CHOOSE(CONTROL!$C$28, 0, 0)</f>
        <v>301.27922358567002</v>
      </c>
    </row>
    <row r="672" spans="1:5" ht="15">
      <c r="A672" s="13">
        <v>61971</v>
      </c>
      <c r="B672" s="4">
        <f>45.3968 * CHOOSE(CONTROL!$C$9, $C$13, 100%, $E$13) + CHOOSE(CONTROL!$C$28, 0.013, 0)</f>
        <v>45.409799999999997</v>
      </c>
      <c r="C672" s="4">
        <f>45.0335 * CHOOSE(CONTROL!$C$9, $C$13, 100%, $E$13) + CHOOSE(CONTROL!$C$28, 0.013, 0)</f>
        <v>45.046499999999995</v>
      </c>
      <c r="D672" s="4">
        <f>62.1952 * CHOOSE(CONTROL!$C$9, $C$13, 100%, $E$13) + CHOOSE(CONTROL!$C$28, 0, 0)</f>
        <v>62.1952</v>
      </c>
      <c r="E672" s="4">
        <f>308.492478938779 * CHOOSE(CONTROL!$C$9, $C$13, 100%, $E$13) + CHOOSE(CONTROL!$C$28, 0, 0)</f>
        <v>308.49247893877902</v>
      </c>
    </row>
    <row r="673" spans="1:5" ht="15">
      <c r="A673" s="13">
        <v>62001</v>
      </c>
      <c r="B673" s="4">
        <f>43.6185 * CHOOSE(CONTROL!$C$9, $C$13, 100%, $E$13) + CHOOSE(CONTROL!$C$28, 0.013, 0)</f>
        <v>43.631499999999996</v>
      </c>
      <c r="C673" s="4">
        <f>43.2552 * CHOOSE(CONTROL!$C$9, $C$13, 100%, $E$13) + CHOOSE(CONTROL!$C$28, 0.013, 0)</f>
        <v>43.2682</v>
      </c>
      <c r="D673" s="4">
        <f>61.8863 * CHOOSE(CONTROL!$C$9, $C$13, 100%, $E$13) + CHOOSE(CONTROL!$C$28, 0, 0)</f>
        <v>61.886299999999999</v>
      </c>
      <c r="E673" s="4">
        <f>296.198791243946 * CHOOSE(CONTROL!$C$9, $C$13, 100%, $E$13) + CHOOSE(CONTROL!$C$28, 0, 0)</f>
        <v>296.198791243946</v>
      </c>
    </row>
    <row r="674" spans="1:5" ht="15">
      <c r="A674" s="13">
        <v>62032</v>
      </c>
      <c r="B674" s="4">
        <f>42.195 * CHOOSE(CONTROL!$C$9, $C$13, 100%, $E$13) + CHOOSE(CONTROL!$C$28, 0.0003, 0)</f>
        <v>42.195300000000003</v>
      </c>
      <c r="C674" s="4">
        <f>41.8317 * CHOOSE(CONTROL!$C$9, $C$13, 100%, $E$13) + CHOOSE(CONTROL!$C$28, 0.0003, 0)</f>
        <v>41.832000000000001</v>
      </c>
      <c r="D674" s="4">
        <f>61.0591 * CHOOSE(CONTROL!$C$9, $C$13, 100%, $E$13) + CHOOSE(CONTROL!$C$28, 0, 0)</f>
        <v>61.059100000000001</v>
      </c>
      <c r="E674" s="4">
        <f>286.357450607146 * CHOOSE(CONTROL!$C$9, $C$13, 100%, $E$13) + CHOOSE(CONTROL!$C$28, 0, 0)</f>
        <v>286.35745060714601</v>
      </c>
    </row>
    <row r="675" spans="1:5" ht="15">
      <c r="A675" s="13">
        <v>62062</v>
      </c>
      <c r="B675" s="4">
        <f>41.2781 * CHOOSE(CONTROL!$C$9, $C$13, 100%, $E$13) + CHOOSE(CONTROL!$C$28, 0.0003, 0)</f>
        <v>41.278400000000005</v>
      </c>
      <c r="C675" s="4">
        <f>40.9148 * CHOOSE(CONTROL!$C$9, $C$13, 100%, $E$13) + CHOOSE(CONTROL!$C$28, 0.0003, 0)</f>
        <v>40.915100000000002</v>
      </c>
      <c r="D675" s="4">
        <f>60.7747 * CHOOSE(CONTROL!$C$9, $C$13, 100%, $E$13) + CHOOSE(CONTROL!$C$28, 0, 0)</f>
        <v>60.774700000000003</v>
      </c>
      <c r="E675" s="4">
        <f>280.018892331739 * CHOOSE(CONTROL!$C$9, $C$13, 100%, $E$13) + CHOOSE(CONTROL!$C$28, 0, 0)</f>
        <v>280.01889233173898</v>
      </c>
    </row>
    <row r="676" spans="1:5" ht="15">
      <c r="A676" s="13">
        <v>62093</v>
      </c>
      <c r="B676" s="4">
        <f>40.6438 * CHOOSE(CONTROL!$C$9, $C$13, 100%, $E$13) + CHOOSE(CONTROL!$C$28, 0.0003, 0)</f>
        <v>40.644100000000002</v>
      </c>
      <c r="C676" s="4">
        <f>40.2805 * CHOOSE(CONTROL!$C$9, $C$13, 100%, $E$13) + CHOOSE(CONTROL!$C$28, 0.0003, 0)</f>
        <v>40.280800000000006</v>
      </c>
      <c r="D676" s="4">
        <f>58.6809 * CHOOSE(CONTROL!$C$9, $C$13, 100%, $E$13) + CHOOSE(CONTROL!$C$28, 0, 0)</f>
        <v>58.680900000000001</v>
      </c>
      <c r="E676" s="4">
        <f>275.633424791477 * CHOOSE(CONTROL!$C$9, $C$13, 100%, $E$13) + CHOOSE(CONTROL!$C$28, 0, 0)</f>
        <v>275.63342479147701</v>
      </c>
    </row>
    <row r="677" spans="1:5" ht="15">
      <c r="A677" s="13">
        <v>62124</v>
      </c>
      <c r="B677" s="4">
        <f>38.9082 * CHOOSE(CONTROL!$C$9, $C$13, 100%, $E$13) + CHOOSE(CONTROL!$C$28, 0.0003, 0)</f>
        <v>38.908500000000004</v>
      </c>
      <c r="C677" s="4">
        <f>38.5449 * CHOOSE(CONTROL!$C$9, $C$13, 100%, $E$13) + CHOOSE(CONTROL!$C$28, 0.0003, 0)</f>
        <v>38.545200000000001</v>
      </c>
      <c r="D677" s="4">
        <f>56.3745 * CHOOSE(CONTROL!$C$9, $C$13, 100%, $E$13) + CHOOSE(CONTROL!$C$28, 0, 0)</f>
        <v>56.374499999999998</v>
      </c>
      <c r="E677" s="4">
        <f>264.152172637264 * CHOOSE(CONTROL!$C$9, $C$13, 100%, $E$13) + CHOOSE(CONTROL!$C$28, 0, 0)</f>
        <v>264.15217263726402</v>
      </c>
    </row>
    <row r="678" spans="1:5" ht="15">
      <c r="A678" s="13">
        <v>62152</v>
      </c>
      <c r="B678" s="4">
        <f>39.8136 * CHOOSE(CONTROL!$C$9, $C$13, 100%, $E$13) + CHOOSE(CONTROL!$C$28, 0.0003, 0)</f>
        <v>39.813900000000004</v>
      </c>
      <c r="C678" s="4">
        <f>39.4503 * CHOOSE(CONTROL!$C$9, $C$13, 100%, $E$13) + CHOOSE(CONTROL!$C$28, 0.0003, 0)</f>
        <v>39.450600000000001</v>
      </c>
      <c r="D678" s="4">
        <f>58.2988 * CHOOSE(CONTROL!$C$9, $C$13, 100%, $E$13) + CHOOSE(CONTROL!$C$28, 0, 0)</f>
        <v>58.2988</v>
      </c>
      <c r="E678" s="4">
        <f>270.424186215464 * CHOOSE(CONTROL!$C$9, $C$13, 100%, $E$13) + CHOOSE(CONTROL!$C$28, 0, 0)</f>
        <v>270.42418621546398</v>
      </c>
    </row>
    <row r="679" spans="1:5" ht="15">
      <c r="A679" s="13">
        <v>62183</v>
      </c>
      <c r="B679" s="4">
        <f>42.1914 * CHOOSE(CONTROL!$C$9, $C$13, 100%, $E$13) + CHOOSE(CONTROL!$C$28, 0.0003, 0)</f>
        <v>42.191700000000004</v>
      </c>
      <c r="C679" s="4">
        <f>41.8282 * CHOOSE(CONTROL!$C$9, $C$13, 100%, $E$13) + CHOOSE(CONTROL!$C$28, 0.0003, 0)</f>
        <v>41.828500000000005</v>
      </c>
      <c r="D679" s="4">
        <f>61.3112 * CHOOSE(CONTROL!$C$9, $C$13, 100%, $E$13) + CHOOSE(CONTROL!$C$28, 0, 0)</f>
        <v>61.311199999999999</v>
      </c>
      <c r="E679" s="4">
        <f>286.89482718686 * CHOOSE(CONTROL!$C$9, $C$13, 100%, $E$13) + CHOOSE(CONTROL!$C$28, 0, 0)</f>
        <v>286.89482718686003</v>
      </c>
    </row>
    <row r="680" spans="1:5" ht="15">
      <c r="A680" s="13">
        <v>62213</v>
      </c>
      <c r="B680" s="4">
        <f>43.8809 * CHOOSE(CONTROL!$C$9, $C$13, 100%, $E$13) + CHOOSE(CONTROL!$C$28, 0.0003, 0)</f>
        <v>43.8812</v>
      </c>
      <c r="C680" s="4">
        <f>43.5176 * CHOOSE(CONTROL!$C$9, $C$13, 100%, $E$13) + CHOOSE(CONTROL!$C$28, 0.0003, 0)</f>
        <v>43.517900000000004</v>
      </c>
      <c r="D680" s="4">
        <f>63.0465 * CHOOSE(CONTROL!$C$9, $C$13, 100%, $E$13) + CHOOSE(CONTROL!$C$28, 0, 0)</f>
        <v>63.046500000000002</v>
      </c>
      <c r="E680" s="4">
        <f>298.597437097188 * CHOOSE(CONTROL!$C$9, $C$13, 100%, $E$13) + CHOOSE(CONTROL!$C$28, 0, 0)</f>
        <v>298.59743709718799</v>
      </c>
    </row>
    <row r="681" spans="1:5" ht="15">
      <c r="A681" s="13">
        <v>62244</v>
      </c>
      <c r="B681" s="4">
        <f>44.9131 * CHOOSE(CONTROL!$C$9, $C$13, 100%, $E$13) + CHOOSE(CONTROL!$C$28, 0.013, 0)</f>
        <v>44.926099999999998</v>
      </c>
      <c r="C681" s="4">
        <f>44.5498 * CHOOSE(CONTROL!$C$9, $C$13, 100%, $E$13) + CHOOSE(CONTROL!$C$28, 0.013, 0)</f>
        <v>44.562799999999996</v>
      </c>
      <c r="D681" s="4">
        <f>62.3608 * CHOOSE(CONTROL!$C$9, $C$13, 100%, $E$13) + CHOOSE(CONTROL!$C$28, 0, 0)</f>
        <v>62.360799999999998</v>
      </c>
      <c r="E681" s="4">
        <f>305.747451279983 * CHOOSE(CONTROL!$C$9, $C$13, 100%, $E$13) + CHOOSE(CONTROL!$C$28, 0, 0)</f>
        <v>305.74745127998301</v>
      </c>
    </row>
    <row r="682" spans="1:5" ht="15">
      <c r="A682" s="13">
        <v>62274</v>
      </c>
      <c r="B682" s="4">
        <f>45.0528 * CHOOSE(CONTROL!$C$9, $C$13, 100%, $E$13) + CHOOSE(CONTROL!$C$28, 0.013, 0)</f>
        <v>45.065799999999996</v>
      </c>
      <c r="C682" s="4">
        <f>44.6895 * CHOOSE(CONTROL!$C$9, $C$13, 100%, $E$13) + CHOOSE(CONTROL!$C$28, 0.013, 0)</f>
        <v>44.702500000000001</v>
      </c>
      <c r="D682" s="4">
        <f>62.9192 * CHOOSE(CONTROL!$C$9, $C$13, 100%, $E$13) + CHOOSE(CONTROL!$C$28, 0, 0)</f>
        <v>62.919199999999996</v>
      </c>
      <c r="E682" s="4">
        <f>306.714877872084 * CHOOSE(CONTROL!$C$9, $C$13, 100%, $E$13) + CHOOSE(CONTROL!$C$28, 0, 0)</f>
        <v>306.714877872084</v>
      </c>
    </row>
    <row r="683" spans="1:5" ht="15">
      <c r="A683" s="13">
        <v>62305</v>
      </c>
      <c r="B683" s="4">
        <f>45.0387 * CHOOSE(CONTROL!$C$9, $C$13, 100%, $E$13) + CHOOSE(CONTROL!$C$28, 0.013, 0)</f>
        <v>45.051699999999997</v>
      </c>
      <c r="C683" s="4">
        <f>44.6754 * CHOOSE(CONTROL!$C$9, $C$13, 100%, $E$13) + CHOOSE(CONTROL!$C$28, 0.013, 0)</f>
        <v>44.688400000000001</v>
      </c>
      <c r="D683" s="4">
        <f>63.9268 * CHOOSE(CONTROL!$C$9, $C$13, 100%, $E$13) + CHOOSE(CONTROL!$C$28, 0, 0)</f>
        <v>63.9268</v>
      </c>
      <c r="E683" s="4">
        <f>306.617322249351 * CHOOSE(CONTROL!$C$9, $C$13, 100%, $E$13) + CHOOSE(CONTROL!$C$28, 0, 0)</f>
        <v>306.61732224935099</v>
      </c>
    </row>
    <row r="684" spans="1:5" ht="15">
      <c r="A684" s="13">
        <v>62336</v>
      </c>
      <c r="B684" s="4">
        <f>46.0985 * CHOOSE(CONTROL!$C$9, $C$13, 100%, $E$13) + CHOOSE(CONTROL!$C$28, 0.013, 0)</f>
        <v>46.111499999999999</v>
      </c>
      <c r="C684" s="4">
        <f>45.7352 * CHOOSE(CONTROL!$C$9, $C$13, 100%, $E$13) + CHOOSE(CONTROL!$C$28, 0.013, 0)</f>
        <v>45.748199999999997</v>
      </c>
      <c r="D684" s="4">
        <f>63.2614 * CHOOSE(CONTROL!$C$9, $C$13, 100%, $E$13) + CHOOSE(CONTROL!$C$28, 0, 0)</f>
        <v>63.261400000000002</v>
      </c>
      <c r="E684" s="4">
        <f>313.958382859998 * CHOOSE(CONTROL!$C$9, $C$13, 100%, $E$13) + CHOOSE(CONTROL!$C$28, 0, 0)</f>
        <v>313.95838285999798</v>
      </c>
    </row>
    <row r="685" spans="1:5" ht="15">
      <c r="A685" s="13">
        <v>62366</v>
      </c>
      <c r="B685" s="4">
        <f>44.2923 * CHOOSE(CONTROL!$C$9, $C$13, 100%, $E$13) + CHOOSE(CONTROL!$C$28, 0.013, 0)</f>
        <v>44.305299999999995</v>
      </c>
      <c r="C685" s="4">
        <f>43.929 * CHOOSE(CONTROL!$C$9, $C$13, 100%, $E$13) + CHOOSE(CONTROL!$C$28, 0.013, 0)</f>
        <v>43.942</v>
      </c>
      <c r="D685" s="4">
        <f>62.947 * CHOOSE(CONTROL!$C$9, $C$13, 100%, $E$13) + CHOOSE(CONTROL!$C$28, 0, 0)</f>
        <v>62.947000000000003</v>
      </c>
      <c r="E685" s="4">
        <f>301.44687424451 * CHOOSE(CONTROL!$C$9, $C$13, 100%, $E$13) + CHOOSE(CONTROL!$C$28, 0, 0)</f>
        <v>301.44687424451001</v>
      </c>
    </row>
    <row r="686" spans="1:5" ht="15">
      <c r="A686" s="13">
        <v>62397</v>
      </c>
      <c r="B686" s="4">
        <f>42.8463 * CHOOSE(CONTROL!$C$9, $C$13, 100%, $E$13) + CHOOSE(CONTROL!$C$28, 0.0003, 0)</f>
        <v>42.846600000000002</v>
      </c>
      <c r="C686" s="4">
        <f>42.4831 * CHOOSE(CONTROL!$C$9, $C$13, 100%, $E$13) + CHOOSE(CONTROL!$C$28, 0.0003, 0)</f>
        <v>42.483400000000003</v>
      </c>
      <c r="D686" s="4">
        <f>62.1052 * CHOOSE(CONTROL!$C$9, $C$13, 100%, $E$13) + CHOOSE(CONTROL!$C$28, 0, 0)</f>
        <v>62.105200000000004</v>
      </c>
      <c r="E686" s="4">
        <f>291.431163643937 * CHOOSE(CONTROL!$C$9, $C$13, 100%, $E$13) + CHOOSE(CONTROL!$C$28, 0, 0)</f>
        <v>291.431163643937</v>
      </c>
    </row>
    <row r="687" spans="1:5" ht="15">
      <c r="A687" s="13">
        <v>62427</v>
      </c>
      <c r="B687" s="4">
        <f>41.915 * CHOOSE(CONTROL!$C$9, $C$13, 100%, $E$13) + CHOOSE(CONTROL!$C$28, 0.0003, 0)</f>
        <v>41.915300000000002</v>
      </c>
      <c r="C687" s="4">
        <f>41.5518 * CHOOSE(CONTROL!$C$9, $C$13, 100%, $E$13) + CHOOSE(CONTROL!$C$28, 0.0003, 0)</f>
        <v>41.552100000000003</v>
      </c>
      <c r="D687" s="4">
        <f>61.8157 * CHOOSE(CONTROL!$C$9, $C$13, 100%, $E$13) + CHOOSE(CONTROL!$C$28, 0, 0)</f>
        <v>61.8157</v>
      </c>
      <c r="E687" s="4">
        <f>284.980298090728 * CHOOSE(CONTROL!$C$9, $C$13, 100%, $E$13) + CHOOSE(CONTROL!$C$28, 0, 0)</f>
        <v>284.98029809072801</v>
      </c>
    </row>
    <row r="688" spans="1:5" ht="15">
      <c r="A688" s="13">
        <v>62458</v>
      </c>
      <c r="B688" s="4">
        <f>41.2707 * CHOOSE(CONTROL!$C$9, $C$13, 100%, $E$13) + CHOOSE(CONTROL!$C$28, 0.0003, 0)</f>
        <v>41.271000000000001</v>
      </c>
      <c r="C688" s="4">
        <f>40.9074 * CHOOSE(CONTROL!$C$9, $C$13, 100%, $E$13) + CHOOSE(CONTROL!$C$28, 0.0003, 0)</f>
        <v>40.907700000000006</v>
      </c>
      <c r="D688" s="4">
        <f>59.685 * CHOOSE(CONTROL!$C$9, $C$13, 100%, $E$13) + CHOOSE(CONTROL!$C$28, 0, 0)</f>
        <v>59.685000000000002</v>
      </c>
      <c r="E688" s="4">
        <f>280.5171283507 * CHOOSE(CONTROL!$C$9, $C$13, 100%, $E$13) + CHOOSE(CONTROL!$C$28, 0, 0)</f>
        <v>280.51712835069998</v>
      </c>
    </row>
    <row r="689" spans="1:5" ht="15">
      <c r="A689" s="13">
        <v>62489</v>
      </c>
      <c r="B689" s="4">
        <f>39.5078 * CHOOSE(CONTROL!$C$9, $C$13, 100%, $E$13) + CHOOSE(CONTROL!$C$28, 0.0003, 0)</f>
        <v>39.508100000000006</v>
      </c>
      <c r="C689" s="4">
        <f>39.1445 * CHOOSE(CONTROL!$C$9, $C$13, 100%, $E$13) + CHOOSE(CONTROL!$C$28, 0.0003, 0)</f>
        <v>39.144800000000004</v>
      </c>
      <c r="D689" s="4">
        <f>57.3379 * CHOOSE(CONTROL!$C$9, $C$13, 100%, $E$13) + CHOOSE(CONTROL!$C$28, 0, 0)</f>
        <v>57.337899999999998</v>
      </c>
      <c r="E689" s="4">
        <f>268.832450098755 * CHOOSE(CONTROL!$C$9, $C$13, 100%, $E$13) + CHOOSE(CONTROL!$C$28, 0, 0)</f>
        <v>268.83245009875498</v>
      </c>
    </row>
    <row r="690" spans="1:5" ht="15">
      <c r="A690" s="13">
        <v>62517</v>
      </c>
      <c r="B690" s="4">
        <f>40.4275 * CHOOSE(CONTROL!$C$9, $C$13, 100%, $E$13) + CHOOSE(CONTROL!$C$28, 0.0003, 0)</f>
        <v>40.427800000000005</v>
      </c>
      <c r="C690" s="4">
        <f>40.0643 * CHOOSE(CONTROL!$C$9, $C$13, 100%, $E$13) + CHOOSE(CONTROL!$C$28, 0.0003, 0)</f>
        <v>40.064600000000006</v>
      </c>
      <c r="D690" s="4">
        <f>59.2962 * CHOOSE(CONTROL!$C$9, $C$13, 100%, $E$13) + CHOOSE(CONTROL!$C$28, 0, 0)</f>
        <v>59.296199999999999</v>
      </c>
      <c r="E690" s="4">
        <f>275.21559190844 * CHOOSE(CONTROL!$C$9, $C$13, 100%, $E$13) + CHOOSE(CONTROL!$C$28, 0, 0)</f>
        <v>275.21559190843999</v>
      </c>
    </row>
    <row r="691" spans="1:5" ht="15">
      <c r="A691" s="13">
        <v>62548</v>
      </c>
      <c r="B691" s="4">
        <f>42.8427 * CHOOSE(CONTROL!$C$9, $C$13, 100%, $E$13) + CHOOSE(CONTROL!$C$28, 0.0003, 0)</f>
        <v>42.843000000000004</v>
      </c>
      <c r="C691" s="4">
        <f>42.4795 * CHOOSE(CONTROL!$C$9, $C$13, 100%, $E$13) + CHOOSE(CONTROL!$C$28, 0.0003, 0)</f>
        <v>42.479800000000004</v>
      </c>
      <c r="D691" s="4">
        <f>62.3618 * CHOOSE(CONTROL!$C$9, $C$13, 100%, $E$13) + CHOOSE(CONTROL!$C$28, 0, 0)</f>
        <v>62.361800000000002</v>
      </c>
      <c r="E691" s="4">
        <f>291.97806152143 * CHOOSE(CONTROL!$C$9, $C$13, 100%, $E$13) + CHOOSE(CONTROL!$C$28, 0, 0)</f>
        <v>291.97806152142999</v>
      </c>
    </row>
    <row r="692" spans="1:5" ht="15">
      <c r="A692" s="13">
        <v>62578</v>
      </c>
      <c r="B692" s="4">
        <f>44.5588 * CHOOSE(CONTROL!$C$9, $C$13, 100%, $E$13) + CHOOSE(CONTROL!$C$28, 0.0003, 0)</f>
        <v>44.559100000000001</v>
      </c>
      <c r="C692" s="4">
        <f>44.1955 * CHOOSE(CONTROL!$C$9, $C$13, 100%, $E$13) + CHOOSE(CONTROL!$C$28, 0.0003, 0)</f>
        <v>44.195800000000006</v>
      </c>
      <c r="D692" s="4">
        <f>64.1277 * CHOOSE(CONTROL!$C$9, $C$13, 100%, $E$13) + CHOOSE(CONTROL!$C$28, 0, 0)</f>
        <v>64.127700000000004</v>
      </c>
      <c r="E692" s="4">
        <f>303.888019570738 * CHOOSE(CONTROL!$C$9, $C$13, 100%, $E$13) + CHOOSE(CONTROL!$C$28, 0, 0)</f>
        <v>303.88801957073798</v>
      </c>
    </row>
    <row r="693" spans="1:5" ht="15">
      <c r="A693" s="13">
        <v>62609</v>
      </c>
      <c r="B693" s="4">
        <f>45.6072 * CHOOSE(CONTROL!$C$9, $C$13, 100%, $E$13) + CHOOSE(CONTROL!$C$28, 0.013, 0)</f>
        <v>45.620199999999997</v>
      </c>
      <c r="C693" s="4">
        <f>45.2439 * CHOOSE(CONTROL!$C$9, $C$13, 100%, $E$13) + CHOOSE(CONTROL!$C$28, 0.013, 0)</f>
        <v>45.256899999999995</v>
      </c>
      <c r="D693" s="4">
        <f>63.4299 * CHOOSE(CONTROL!$C$9, $C$13, 100%, $E$13) + CHOOSE(CONTROL!$C$28, 0, 0)</f>
        <v>63.429900000000004</v>
      </c>
      <c r="E693" s="4">
        <f>311.164718497009 * CHOOSE(CONTROL!$C$9, $C$13, 100%, $E$13) + CHOOSE(CONTROL!$C$28, 0, 0)</f>
        <v>311.16471849700901</v>
      </c>
    </row>
    <row r="694" spans="1:5" ht="15">
      <c r="A694" s="13">
        <v>62639</v>
      </c>
      <c r="B694" s="4">
        <f>45.7491 * CHOOSE(CONTROL!$C$9, $C$13, 100%, $E$13) + CHOOSE(CONTROL!$C$28, 0.013, 0)</f>
        <v>45.762099999999997</v>
      </c>
      <c r="C694" s="4">
        <f>45.3858 * CHOOSE(CONTROL!$C$9, $C$13, 100%, $E$13) + CHOOSE(CONTROL!$C$28, 0.013, 0)</f>
        <v>45.398800000000001</v>
      </c>
      <c r="D694" s="4">
        <f>63.9982 * CHOOSE(CONTROL!$C$9, $C$13, 100%, $E$13) + CHOOSE(CONTROL!$C$28, 0, 0)</f>
        <v>63.998199999999997</v>
      </c>
      <c r="E694" s="4">
        <f>312.149286060655 * CHOOSE(CONTROL!$C$9, $C$13, 100%, $E$13) + CHOOSE(CONTROL!$C$28, 0, 0)</f>
        <v>312.14928606065502</v>
      </c>
    </row>
    <row r="695" spans="1:5" ht="15">
      <c r="A695" s="13">
        <v>62670</v>
      </c>
      <c r="B695" s="4">
        <f>45.7348 * CHOOSE(CONTROL!$C$9, $C$13, 100%, $E$13) + CHOOSE(CONTROL!$C$28, 0.013, 0)</f>
        <v>45.747799999999998</v>
      </c>
      <c r="C695" s="4">
        <f>45.3715 * CHOOSE(CONTROL!$C$9, $C$13, 100%, $E$13) + CHOOSE(CONTROL!$C$28, 0.013, 0)</f>
        <v>45.384499999999996</v>
      </c>
      <c r="D695" s="4">
        <f>65.0236 * CHOOSE(CONTROL!$C$9, $C$13, 100%, $E$13) + CHOOSE(CONTROL!$C$28, 0, 0)</f>
        <v>65.023600000000002</v>
      </c>
      <c r="E695" s="4">
        <f>312.05000193659 * CHOOSE(CONTROL!$C$9, $C$13, 100%, $E$13) + CHOOSE(CONTROL!$C$28, 0, 0)</f>
        <v>312.05000193658998</v>
      </c>
    </row>
    <row r="696" spans="1:5" ht="15">
      <c r="A696" s="13">
        <v>62701</v>
      </c>
      <c r="B696" s="4">
        <f>46.8112 * CHOOSE(CONTROL!$C$9, $C$13, 100%, $E$13) + CHOOSE(CONTROL!$C$28, 0.013, 0)</f>
        <v>46.824199999999998</v>
      </c>
      <c r="C696" s="4">
        <f>46.448 * CHOOSE(CONTROL!$C$9, $C$13, 100%, $E$13) + CHOOSE(CONTROL!$C$28, 0.013, 0)</f>
        <v>46.460999999999999</v>
      </c>
      <c r="D696" s="4">
        <f>64.3464 * CHOOSE(CONTROL!$C$9, $C$13, 100%, $E$13) + CHOOSE(CONTROL!$C$28, 0, 0)</f>
        <v>64.346400000000003</v>
      </c>
      <c r="E696" s="4">
        <f>319.521132272488 * CHOOSE(CONTROL!$C$9, $C$13, 100%, $E$13) + CHOOSE(CONTROL!$C$28, 0, 0)</f>
        <v>319.52113227248799</v>
      </c>
    </row>
    <row r="697" spans="1:5" ht="15">
      <c r="A697" s="13">
        <v>62731</v>
      </c>
      <c r="B697" s="4">
        <f>44.9766 * CHOOSE(CONTROL!$C$9, $C$13, 100%, $E$13) + CHOOSE(CONTROL!$C$28, 0.013, 0)</f>
        <v>44.989599999999996</v>
      </c>
      <c r="C697" s="4">
        <f>44.6133 * CHOOSE(CONTROL!$C$9, $C$13, 100%, $E$13) + CHOOSE(CONTROL!$C$28, 0.013, 0)</f>
        <v>44.626300000000001</v>
      </c>
      <c r="D697" s="4">
        <f>64.0264 * CHOOSE(CONTROL!$C$9, $C$13, 100%, $E$13) + CHOOSE(CONTROL!$C$28, 0, 0)</f>
        <v>64.026399999999995</v>
      </c>
      <c r="E697" s="4">
        <f>306.78794336114 * CHOOSE(CONTROL!$C$9, $C$13, 100%, $E$13) + CHOOSE(CONTROL!$C$28, 0, 0)</f>
        <v>306.78794336113998</v>
      </c>
    </row>
    <row r="698" spans="1:5" ht="15">
      <c r="A698" s="13">
        <v>62762</v>
      </c>
      <c r="B698" s="4">
        <f>43.5079 * CHOOSE(CONTROL!$C$9, $C$13, 100%, $E$13) + CHOOSE(CONTROL!$C$28, 0.0003, 0)</f>
        <v>43.508200000000002</v>
      </c>
      <c r="C698" s="4">
        <f>43.1446 * CHOOSE(CONTROL!$C$9, $C$13, 100%, $E$13) + CHOOSE(CONTROL!$C$28, 0.0003, 0)</f>
        <v>43.1449</v>
      </c>
      <c r="D698" s="4">
        <f>63.1697 * CHOOSE(CONTROL!$C$9, $C$13, 100%, $E$13) + CHOOSE(CONTROL!$C$28, 0, 0)</f>
        <v>63.169699999999999</v>
      </c>
      <c r="E698" s="4">
        <f>296.594773290457 * CHOOSE(CONTROL!$C$9, $C$13, 100%, $E$13) + CHOOSE(CONTROL!$C$28, 0, 0)</f>
        <v>296.594773290457</v>
      </c>
    </row>
    <row r="699" spans="1:5" ht="15">
      <c r="A699" s="13">
        <v>62792</v>
      </c>
      <c r="B699" s="4">
        <f>42.562 * CHOOSE(CONTROL!$C$9, $C$13, 100%, $E$13) + CHOOSE(CONTROL!$C$28, 0.0003, 0)</f>
        <v>42.5623</v>
      </c>
      <c r="C699" s="4">
        <f>42.1987 * CHOOSE(CONTROL!$C$9, $C$13, 100%, $E$13) + CHOOSE(CONTROL!$C$28, 0.0003, 0)</f>
        <v>42.199000000000005</v>
      </c>
      <c r="D699" s="4">
        <f>62.8752 * CHOOSE(CONTROL!$C$9, $C$13, 100%, $E$13) + CHOOSE(CONTROL!$C$28, 0, 0)</f>
        <v>62.8752</v>
      </c>
      <c r="E699" s="4">
        <f>290.029610586652 * CHOOSE(CONTROL!$C$9, $C$13, 100%, $E$13) + CHOOSE(CONTROL!$C$28, 0, 0)</f>
        <v>290.02961058665198</v>
      </c>
    </row>
    <row r="700" spans="1:5" ht="15">
      <c r="A700" s="13">
        <v>62823</v>
      </c>
      <c r="B700" s="4">
        <f>41.9075 * CHOOSE(CONTROL!$C$9, $C$13, 100%, $E$13) + CHOOSE(CONTROL!$C$28, 0.0003, 0)</f>
        <v>41.907800000000002</v>
      </c>
      <c r="C700" s="4">
        <f>41.5442 * CHOOSE(CONTROL!$C$9, $C$13, 100%, $E$13) + CHOOSE(CONTROL!$C$28, 0.0003, 0)</f>
        <v>41.544499999999999</v>
      </c>
      <c r="D700" s="4">
        <f>60.7068 * CHOOSE(CONTROL!$C$9, $C$13, 100%, $E$13) + CHOOSE(CONTROL!$C$28, 0, 0)</f>
        <v>60.706800000000001</v>
      </c>
      <c r="E700" s="4">
        <f>285.487361910674 * CHOOSE(CONTROL!$C$9, $C$13, 100%, $E$13) + CHOOSE(CONTROL!$C$28, 0, 0)</f>
        <v>285.487361910674</v>
      </c>
    </row>
    <row r="701" spans="1:5" ht="15">
      <c r="A701" s="13">
        <v>62854</v>
      </c>
      <c r="B701" s="4">
        <f>40.1169 * CHOOSE(CONTROL!$C$9, $C$13, 100%, $E$13) + CHOOSE(CONTROL!$C$28, 0.0003, 0)</f>
        <v>40.117200000000004</v>
      </c>
      <c r="C701" s="4">
        <f>39.7536 * CHOOSE(CONTROL!$C$9, $C$13, 100%, $E$13) + CHOOSE(CONTROL!$C$28, 0.0003, 0)</f>
        <v>39.753900000000002</v>
      </c>
      <c r="D701" s="4">
        <f>58.3182 * CHOOSE(CONTROL!$C$9, $C$13, 100%, $E$13) + CHOOSE(CONTROL!$C$28, 0, 0)</f>
        <v>58.318199999999997</v>
      </c>
      <c r="E701" s="4">
        <f>273.595653234859 * CHOOSE(CONTROL!$C$9, $C$13, 100%, $E$13) + CHOOSE(CONTROL!$C$28, 0, 0)</f>
        <v>273.59565323485901</v>
      </c>
    </row>
    <row r="702" spans="1:5" ht="15">
      <c r="A702" s="13">
        <v>62883</v>
      </c>
      <c r="B702" s="4">
        <f>41.0511 * CHOOSE(CONTROL!$C$9, $C$13, 100%, $E$13) + CHOOSE(CONTROL!$C$28, 0.0003, 0)</f>
        <v>41.051400000000001</v>
      </c>
      <c r="C702" s="4">
        <f>40.6878 * CHOOSE(CONTROL!$C$9, $C$13, 100%, $E$13) + CHOOSE(CONTROL!$C$28, 0.0003, 0)</f>
        <v>40.688100000000006</v>
      </c>
      <c r="D702" s="4">
        <f>60.3111 * CHOOSE(CONTROL!$C$9, $C$13, 100%, $E$13) + CHOOSE(CONTROL!$C$28, 0, 0)</f>
        <v>60.311100000000003</v>
      </c>
      <c r="E702" s="4">
        <f>280.091892258347 * CHOOSE(CONTROL!$C$9, $C$13, 100%, $E$13) + CHOOSE(CONTROL!$C$28, 0, 0)</f>
        <v>280.091892258347</v>
      </c>
    </row>
    <row r="703" spans="1:5" ht="15">
      <c r="A703" s="13">
        <v>62914</v>
      </c>
      <c r="B703" s="4">
        <f>43.5043 * CHOOSE(CONTROL!$C$9, $C$13, 100%, $E$13) + CHOOSE(CONTROL!$C$28, 0.0003, 0)</f>
        <v>43.504600000000003</v>
      </c>
      <c r="C703" s="4">
        <f>43.141 * CHOOSE(CONTROL!$C$9, $C$13, 100%, $E$13) + CHOOSE(CONTROL!$C$28, 0.0003, 0)</f>
        <v>43.141300000000001</v>
      </c>
      <c r="D703" s="4">
        <f>63.4309 * CHOOSE(CONTROL!$C$9, $C$13, 100%, $E$13) + CHOOSE(CONTROL!$C$28, 0, 0)</f>
        <v>63.430900000000001</v>
      </c>
      <c r="E703" s="4">
        <f>297.151361165136 * CHOOSE(CONTROL!$C$9, $C$13, 100%, $E$13) + CHOOSE(CONTROL!$C$28, 0, 0)</f>
        <v>297.151361165136</v>
      </c>
    </row>
    <row r="704" spans="1:5" ht="15">
      <c r="A704" s="13">
        <v>62944</v>
      </c>
      <c r="B704" s="4">
        <f>45.2473 * CHOOSE(CONTROL!$C$9, $C$13, 100%, $E$13) + CHOOSE(CONTROL!$C$28, 0.0003, 0)</f>
        <v>45.247600000000006</v>
      </c>
      <c r="C704" s="4">
        <f>44.884 * CHOOSE(CONTROL!$C$9, $C$13, 100%, $E$13) + CHOOSE(CONTROL!$C$28, 0.0003, 0)</f>
        <v>44.884300000000003</v>
      </c>
      <c r="D704" s="4">
        <f>65.228 * CHOOSE(CONTROL!$C$9, $C$13, 100%, $E$13) + CHOOSE(CONTROL!$C$28, 0, 0)</f>
        <v>65.227999999999994</v>
      </c>
      <c r="E704" s="4">
        <f>309.272341170724 * CHOOSE(CONTROL!$C$9, $C$13, 100%, $E$13) + CHOOSE(CONTROL!$C$28, 0, 0)</f>
        <v>309.27234117072402</v>
      </c>
    </row>
    <row r="705" spans="1:5" ht="15">
      <c r="A705" s="13">
        <v>62975</v>
      </c>
      <c r="B705" s="4">
        <f>46.3122 * CHOOSE(CONTROL!$C$9, $C$13, 100%, $E$13) + CHOOSE(CONTROL!$C$28, 0.013, 0)</f>
        <v>46.325199999999995</v>
      </c>
      <c r="C705" s="4">
        <f>45.9489 * CHOOSE(CONTROL!$C$9, $C$13, 100%, $E$13) + CHOOSE(CONTROL!$C$28, 0.013, 0)</f>
        <v>45.9619</v>
      </c>
      <c r="D705" s="4">
        <f>64.5178 * CHOOSE(CONTROL!$C$9, $C$13, 100%, $E$13) + CHOOSE(CONTROL!$C$28, 0, 0)</f>
        <v>64.517799999999994</v>
      </c>
      <c r="E705" s="4">
        <f>316.677969454791 * CHOOSE(CONTROL!$C$9, $C$13, 100%, $E$13) + CHOOSE(CONTROL!$C$28, 0, 0)</f>
        <v>316.67796945479103</v>
      </c>
    </row>
    <row r="706" spans="1:5" ht="15">
      <c r="A706" s="13">
        <v>63005</v>
      </c>
      <c r="B706" s="4">
        <f>46.4563 * CHOOSE(CONTROL!$C$9, $C$13, 100%, $E$13) + CHOOSE(CONTROL!$C$28, 0.013, 0)</f>
        <v>46.469299999999997</v>
      </c>
      <c r="C706" s="4">
        <f>46.093 * CHOOSE(CONTROL!$C$9, $C$13, 100%, $E$13) + CHOOSE(CONTROL!$C$28, 0.013, 0)</f>
        <v>46.106000000000002</v>
      </c>
      <c r="D706" s="4">
        <f>65.0962 * CHOOSE(CONTROL!$C$9, $C$13, 100%, $E$13) + CHOOSE(CONTROL!$C$28, 0, 0)</f>
        <v>65.096199999999996</v>
      </c>
      <c r="E706" s="4">
        <f>317.679981695615 * CHOOSE(CONTROL!$C$9, $C$13, 100%, $E$13) + CHOOSE(CONTROL!$C$28, 0, 0)</f>
        <v>317.67998169561503</v>
      </c>
    </row>
    <row r="707" spans="1:5" ht="15">
      <c r="A707" s="13">
        <v>63036</v>
      </c>
      <c r="B707" s="4">
        <f>46.4418 * CHOOSE(CONTROL!$C$9, $C$13, 100%, $E$13) + CHOOSE(CONTROL!$C$28, 0.013, 0)</f>
        <v>46.454799999999999</v>
      </c>
      <c r="C707" s="4">
        <f>46.0785 * CHOOSE(CONTROL!$C$9, $C$13, 100%, $E$13) + CHOOSE(CONTROL!$C$28, 0.013, 0)</f>
        <v>46.091499999999996</v>
      </c>
      <c r="D707" s="4">
        <f>66.1397 * CHOOSE(CONTROL!$C$9, $C$13, 100%, $E$13) + CHOOSE(CONTROL!$C$28, 0, 0)</f>
        <v>66.139700000000005</v>
      </c>
      <c r="E707" s="4">
        <f>317.578938444439 * CHOOSE(CONTROL!$C$9, $C$13, 100%, $E$13) + CHOOSE(CONTROL!$C$28, 0, 0)</f>
        <v>317.57893844443902</v>
      </c>
    </row>
    <row r="708" spans="1:5" ht="15">
      <c r="A708" s="13">
        <v>63067</v>
      </c>
      <c r="B708" s="4">
        <f>47.5352 * CHOOSE(CONTROL!$C$9, $C$13, 100%, $E$13) + CHOOSE(CONTROL!$C$28, 0.013, 0)</f>
        <v>47.548200000000001</v>
      </c>
      <c r="C708" s="4">
        <f>47.1719 * CHOOSE(CONTROL!$C$9, $C$13, 100%, $E$13) + CHOOSE(CONTROL!$C$28, 0.013, 0)</f>
        <v>47.184899999999999</v>
      </c>
      <c r="D708" s="4">
        <f>65.4506 * CHOOSE(CONTROL!$C$9, $C$13, 100%, $E$13) + CHOOSE(CONTROL!$C$28, 0, 0)</f>
        <v>65.450599999999994</v>
      </c>
      <c r="E708" s="4">
        <f>325.182443095392 * CHOOSE(CONTROL!$C$9, $C$13, 100%, $E$13) + CHOOSE(CONTROL!$C$28, 0, 0)</f>
        <v>325.18244309539199</v>
      </c>
    </row>
    <row r="709" spans="1:5" ht="15">
      <c r="A709" s="13">
        <v>63097</v>
      </c>
      <c r="B709" s="4">
        <f>45.6717 * CHOOSE(CONTROL!$C$9, $C$13, 100%, $E$13) + CHOOSE(CONTROL!$C$28, 0.013, 0)</f>
        <v>45.684699999999999</v>
      </c>
      <c r="C709" s="4">
        <f>45.3084 * CHOOSE(CONTROL!$C$9, $C$13, 100%, $E$13) + CHOOSE(CONTROL!$C$28, 0.013, 0)</f>
        <v>45.321399999999997</v>
      </c>
      <c r="D709" s="4">
        <f>65.125 * CHOOSE(CONTROL!$C$9, $C$13, 100%, $E$13) + CHOOSE(CONTROL!$C$28, 0, 0)</f>
        <v>65.125</v>
      </c>
      <c r="E709" s="4">
        <f>312.22364613214 * CHOOSE(CONTROL!$C$9, $C$13, 100%, $E$13) + CHOOSE(CONTROL!$C$28, 0, 0)</f>
        <v>312.22364613214</v>
      </c>
    </row>
    <row r="710" spans="1:5" ht="15">
      <c r="A710" s="13">
        <v>63128</v>
      </c>
      <c r="B710" s="4">
        <f>44.1799 * CHOOSE(CONTROL!$C$9, $C$13, 100%, $E$13) + CHOOSE(CONTROL!$C$28, 0.0003, 0)</f>
        <v>44.180200000000006</v>
      </c>
      <c r="C710" s="4">
        <f>43.8166 * CHOOSE(CONTROL!$C$9, $C$13, 100%, $E$13) + CHOOSE(CONTROL!$C$28, 0.0003, 0)</f>
        <v>43.816900000000004</v>
      </c>
      <c r="D710" s="4">
        <f>64.2531 * CHOOSE(CONTROL!$C$9, $C$13, 100%, $E$13) + CHOOSE(CONTROL!$C$28, 0, 0)</f>
        <v>64.253100000000003</v>
      </c>
      <c r="E710" s="4">
        <f>301.849872344794 * CHOOSE(CONTROL!$C$9, $C$13, 100%, $E$13) + CHOOSE(CONTROL!$C$28, 0, 0)</f>
        <v>301.84987234479399</v>
      </c>
    </row>
    <row r="711" spans="1:5" ht="15">
      <c r="A711" s="13">
        <v>63158</v>
      </c>
      <c r="B711" s="4">
        <f>43.2191 * CHOOSE(CONTROL!$C$9, $C$13, 100%, $E$13) + CHOOSE(CONTROL!$C$28, 0.0003, 0)</f>
        <v>43.2194</v>
      </c>
      <c r="C711" s="4">
        <f>42.8558 * CHOOSE(CONTROL!$C$9, $C$13, 100%, $E$13) + CHOOSE(CONTROL!$C$28, 0.0003, 0)</f>
        <v>42.856100000000005</v>
      </c>
      <c r="D711" s="4">
        <f>63.9534 * CHOOSE(CONTROL!$C$9, $C$13, 100%, $E$13) + CHOOSE(CONTROL!$C$28, 0, 0)</f>
        <v>63.953400000000002</v>
      </c>
      <c r="E711" s="4">
        <f>295.168387360818 * CHOOSE(CONTROL!$C$9, $C$13, 100%, $E$13) + CHOOSE(CONTROL!$C$28, 0, 0)</f>
        <v>295.16838736081797</v>
      </c>
    </row>
    <row r="712" spans="1:5" ht="15">
      <c r="A712" s="13">
        <v>63189</v>
      </c>
      <c r="B712" s="4">
        <f>42.5544 * CHOOSE(CONTROL!$C$9, $C$13, 100%, $E$13) + CHOOSE(CONTROL!$C$28, 0.0003, 0)</f>
        <v>42.554700000000004</v>
      </c>
      <c r="C712" s="4">
        <f>42.1911 * CHOOSE(CONTROL!$C$9, $C$13, 100%, $E$13) + CHOOSE(CONTROL!$C$28, 0.0003, 0)</f>
        <v>42.191400000000002</v>
      </c>
      <c r="D712" s="4">
        <f>61.7467 * CHOOSE(CONTROL!$C$9, $C$13, 100%, $E$13) + CHOOSE(CONTROL!$C$28, 0, 0)</f>
        <v>61.746699999999997</v>
      </c>
      <c r="E712" s="4">
        <f>290.545658619541 * CHOOSE(CONTROL!$C$9, $C$13, 100%, $E$13) + CHOOSE(CONTROL!$C$28, 0, 0)</f>
        <v>290.54565861954097</v>
      </c>
    </row>
    <row r="713" spans="1:5" ht="15">
      <c r="A713" s="13">
        <v>63220</v>
      </c>
      <c r="B713" s="4">
        <f>40.7356 * CHOOSE(CONTROL!$C$9, $C$13, 100%, $E$13) + CHOOSE(CONTROL!$C$28, 0.0003, 0)</f>
        <v>40.735900000000001</v>
      </c>
      <c r="C713" s="4">
        <f>40.3723 * CHOOSE(CONTROL!$C$9, $C$13, 100%, $E$13) + CHOOSE(CONTROL!$C$28, 0.0003, 0)</f>
        <v>40.372600000000006</v>
      </c>
      <c r="D713" s="4">
        <f>59.3159 * CHOOSE(CONTROL!$C$9, $C$13, 100%, $E$13) + CHOOSE(CONTROL!$C$28, 0, 0)</f>
        <v>59.315899999999999</v>
      </c>
      <c r="E713" s="4">
        <f>278.443251331867 * CHOOSE(CONTROL!$C$9, $C$13, 100%, $E$13) + CHOOSE(CONTROL!$C$28, 0, 0)</f>
        <v>278.44325133186697</v>
      </c>
    </row>
    <row r="714" spans="1:5" ht="15">
      <c r="A714" s="13">
        <v>63248</v>
      </c>
      <c r="B714" s="4">
        <f>41.6845 * CHOOSE(CONTROL!$C$9, $C$13, 100%, $E$13) + CHOOSE(CONTROL!$C$28, 0.0003, 0)</f>
        <v>41.684800000000003</v>
      </c>
      <c r="C714" s="4">
        <f>41.3212 * CHOOSE(CONTROL!$C$9, $C$13, 100%, $E$13) + CHOOSE(CONTROL!$C$28, 0.0003, 0)</f>
        <v>41.3215</v>
      </c>
      <c r="D714" s="4">
        <f>61.344 * CHOOSE(CONTROL!$C$9, $C$13, 100%, $E$13) + CHOOSE(CONTROL!$C$28, 0, 0)</f>
        <v>61.344000000000001</v>
      </c>
      <c r="E714" s="4">
        <f>285.054591438124 * CHOOSE(CONTROL!$C$9, $C$13, 100%, $E$13) + CHOOSE(CONTROL!$C$28, 0, 0)</f>
        <v>285.05459143812402</v>
      </c>
    </row>
    <row r="715" spans="1:5" ht="15">
      <c r="A715" s="13">
        <v>63279</v>
      </c>
      <c r="B715" s="4">
        <f>44.1762 * CHOOSE(CONTROL!$C$9, $C$13, 100%, $E$13) + CHOOSE(CONTROL!$C$28, 0.0003, 0)</f>
        <v>44.176500000000004</v>
      </c>
      <c r="C715" s="4">
        <f>43.8129 * CHOOSE(CONTROL!$C$9, $C$13, 100%, $E$13) + CHOOSE(CONTROL!$C$28, 0.0003, 0)</f>
        <v>43.813200000000002</v>
      </c>
      <c r="D715" s="4">
        <f>64.5189 * CHOOSE(CONTROL!$C$9, $C$13, 100%, $E$13) + CHOOSE(CONTROL!$C$28, 0, 0)</f>
        <v>64.518900000000002</v>
      </c>
      <c r="E715" s="4">
        <f>302.416321905104 * CHOOSE(CONTROL!$C$9, $C$13, 100%, $E$13) + CHOOSE(CONTROL!$C$28, 0, 0)</f>
        <v>302.41632190510398</v>
      </c>
    </row>
    <row r="716" spans="1:5" ht="15">
      <c r="A716" s="13">
        <v>63309</v>
      </c>
      <c r="B716" s="4">
        <f>45.9466 * CHOOSE(CONTROL!$C$9, $C$13, 100%, $E$13) + CHOOSE(CONTROL!$C$28, 0.0003, 0)</f>
        <v>45.946899999999999</v>
      </c>
      <c r="C716" s="4">
        <f>45.5834 * CHOOSE(CONTROL!$C$9, $C$13, 100%, $E$13) + CHOOSE(CONTROL!$C$28, 0.0003, 0)</f>
        <v>45.5837</v>
      </c>
      <c r="D716" s="4">
        <f>66.3477 * CHOOSE(CONTROL!$C$9, $C$13, 100%, $E$13) + CHOOSE(CONTROL!$C$28, 0, 0)</f>
        <v>66.347700000000003</v>
      </c>
      <c r="E716" s="4">
        <f>314.752062777374 * CHOOSE(CONTROL!$C$9, $C$13, 100%, $E$13) + CHOOSE(CONTROL!$C$28, 0, 0)</f>
        <v>314.75206277737402</v>
      </c>
    </row>
    <row r="717" spans="1:5" ht="15">
      <c r="A717" s="13">
        <v>63340</v>
      </c>
      <c r="B717" s="4">
        <f>47.0283 * CHOOSE(CONTROL!$C$9, $C$13, 100%, $E$13) + CHOOSE(CONTROL!$C$28, 0.013, 0)</f>
        <v>47.0413</v>
      </c>
      <c r="C717" s="4">
        <f>46.665 * CHOOSE(CONTROL!$C$9, $C$13, 100%, $E$13) + CHOOSE(CONTROL!$C$28, 0.013, 0)</f>
        <v>46.677999999999997</v>
      </c>
      <c r="D717" s="4">
        <f>65.625 * CHOOSE(CONTROL!$C$9, $C$13, 100%, $E$13) + CHOOSE(CONTROL!$C$28, 0, 0)</f>
        <v>65.625</v>
      </c>
      <c r="E717" s="4">
        <f>322.288904803884 * CHOOSE(CONTROL!$C$9, $C$13, 100%, $E$13) + CHOOSE(CONTROL!$C$28, 0, 0)</f>
        <v>322.28890480388401</v>
      </c>
    </row>
    <row r="718" spans="1:5" ht="15">
      <c r="A718" s="13">
        <v>63370</v>
      </c>
      <c r="B718" s="4">
        <f>47.1747 * CHOOSE(CONTROL!$C$9, $C$13, 100%, $E$13) + CHOOSE(CONTROL!$C$28, 0.013, 0)</f>
        <v>47.1877</v>
      </c>
      <c r="C718" s="4">
        <f>46.8114 * CHOOSE(CONTROL!$C$9, $C$13, 100%, $E$13) + CHOOSE(CONTROL!$C$28, 0.013, 0)</f>
        <v>46.824399999999997</v>
      </c>
      <c r="D718" s="4">
        <f>66.2136 * CHOOSE(CONTROL!$C$9, $C$13, 100%, $E$13) + CHOOSE(CONTROL!$C$28, 0, 0)</f>
        <v>66.2136</v>
      </c>
      <c r="E718" s="4">
        <f>323.308670808608 * CHOOSE(CONTROL!$C$9, $C$13, 100%, $E$13) + CHOOSE(CONTROL!$C$28, 0, 0)</f>
        <v>323.30867080860799</v>
      </c>
    </row>
    <row r="719" spans="1:5" ht="15">
      <c r="A719" s="13">
        <v>63401</v>
      </c>
      <c r="B719" s="4">
        <f>47.1599 * CHOOSE(CONTROL!$C$9, $C$13, 100%, $E$13) + CHOOSE(CONTROL!$C$28, 0.013, 0)</f>
        <v>47.172899999999998</v>
      </c>
      <c r="C719" s="4">
        <f>46.7966 * CHOOSE(CONTROL!$C$9, $C$13, 100%, $E$13) + CHOOSE(CONTROL!$C$28, 0.013, 0)</f>
        <v>46.809599999999996</v>
      </c>
      <c r="D719" s="4">
        <f>67.2756 * CHOOSE(CONTROL!$C$9, $C$13, 100%, $E$13) + CHOOSE(CONTROL!$C$28, 0, 0)</f>
        <v>67.275599999999997</v>
      </c>
      <c r="E719" s="4">
        <f>323.205837261913 * CHOOSE(CONTROL!$C$9, $C$13, 100%, $E$13) + CHOOSE(CONTROL!$C$28, 0, 0)</f>
        <v>323.20583726191302</v>
      </c>
    </row>
    <row r="720" spans="1:5" ht="15">
      <c r="A720" s="13">
        <v>63432</v>
      </c>
      <c r="B720" s="4">
        <f>48.2705 * CHOOSE(CONTROL!$C$9, $C$13, 100%, $E$13) + CHOOSE(CONTROL!$C$28, 0.013, 0)</f>
        <v>48.283499999999997</v>
      </c>
      <c r="C720" s="4">
        <f>47.9072 * CHOOSE(CONTROL!$C$9, $C$13, 100%, $E$13) + CHOOSE(CONTROL!$C$28, 0.013, 0)</f>
        <v>47.920200000000001</v>
      </c>
      <c r="D720" s="4">
        <f>66.5742 * CHOOSE(CONTROL!$C$9, $C$13, 100%, $E$13) + CHOOSE(CONTROL!$C$28, 0, 0)</f>
        <v>66.574200000000005</v>
      </c>
      <c r="E720" s="4">
        <f>330.9440616507 * CHOOSE(CONTROL!$C$9, $C$13, 100%, $E$13) + CHOOSE(CONTROL!$C$28, 0, 0)</f>
        <v>330.94406165070001</v>
      </c>
    </row>
    <row r="721" spans="1:5" ht="15">
      <c r="A721" s="13">
        <v>63462</v>
      </c>
      <c r="B721" s="4">
        <f>46.3777 * CHOOSE(CONTROL!$C$9, $C$13, 100%, $E$13) + CHOOSE(CONTROL!$C$28, 0.013, 0)</f>
        <v>46.390699999999995</v>
      </c>
      <c r="C721" s="4">
        <f>46.0144 * CHOOSE(CONTROL!$C$9, $C$13, 100%, $E$13) + CHOOSE(CONTROL!$C$28, 0.013, 0)</f>
        <v>46.0274</v>
      </c>
      <c r="D721" s="4">
        <f>66.2429 * CHOOSE(CONTROL!$C$9, $C$13, 100%, $E$13) + CHOOSE(CONTROL!$C$28, 0, 0)</f>
        <v>66.242900000000006</v>
      </c>
      <c r="E721" s="4">
        <f>317.755659287086 * CHOOSE(CONTROL!$C$9, $C$13, 100%, $E$13) + CHOOSE(CONTROL!$C$28, 0, 0)</f>
        <v>317.75565928708602</v>
      </c>
    </row>
    <row r="722" spans="1:5" ht="15">
      <c r="A722" s="13">
        <v>63493</v>
      </c>
      <c r="B722" s="4">
        <f>44.8625 * CHOOSE(CONTROL!$C$9, $C$13, 100%, $E$13) + CHOOSE(CONTROL!$C$28, 0.0003, 0)</f>
        <v>44.8628</v>
      </c>
      <c r="C722" s="4">
        <f>44.4992 * CHOOSE(CONTROL!$C$9, $C$13, 100%, $E$13) + CHOOSE(CONTROL!$C$28, 0.0003, 0)</f>
        <v>44.499500000000005</v>
      </c>
      <c r="D722" s="4">
        <f>65.3556 * CHOOSE(CONTROL!$C$9, $C$13, 100%, $E$13) + CHOOSE(CONTROL!$C$28, 0, 0)</f>
        <v>65.355599999999995</v>
      </c>
      <c r="E722" s="4">
        <f>307.198081826414 * CHOOSE(CONTROL!$C$9, $C$13, 100%, $E$13) + CHOOSE(CONTROL!$C$28, 0, 0)</f>
        <v>307.19808182641401</v>
      </c>
    </row>
    <row r="723" spans="1:5" ht="15">
      <c r="A723" s="13">
        <v>63523</v>
      </c>
      <c r="B723" s="4">
        <f>43.8866 * CHOOSE(CONTROL!$C$9, $C$13, 100%, $E$13) + CHOOSE(CONTROL!$C$28, 0.0003, 0)</f>
        <v>43.886900000000004</v>
      </c>
      <c r="C723" s="4">
        <f>43.5233 * CHOOSE(CONTROL!$C$9, $C$13, 100%, $E$13) + CHOOSE(CONTROL!$C$28, 0.0003, 0)</f>
        <v>43.523600000000002</v>
      </c>
      <c r="D723" s="4">
        <f>65.0506 * CHOOSE(CONTROL!$C$9, $C$13, 100%, $E$13) + CHOOSE(CONTROL!$C$28, 0, 0)</f>
        <v>65.050600000000003</v>
      </c>
      <c r="E723" s="4">
        <f>300.398213551217 * CHOOSE(CONTROL!$C$9, $C$13, 100%, $E$13) + CHOOSE(CONTROL!$C$28, 0, 0)</f>
        <v>300.398213551217</v>
      </c>
    </row>
    <row r="724" spans="1:5" ht="15">
      <c r="A724" s="13">
        <v>63554</v>
      </c>
      <c r="B724" s="4">
        <f>43.2114 * CHOOSE(CONTROL!$C$9, $C$13, 100%, $E$13) + CHOOSE(CONTROL!$C$28, 0.0003, 0)</f>
        <v>43.2117</v>
      </c>
      <c r="C724" s="4">
        <f>42.8481 * CHOOSE(CONTROL!$C$9, $C$13, 100%, $E$13) + CHOOSE(CONTROL!$C$28, 0.0003, 0)</f>
        <v>42.848400000000005</v>
      </c>
      <c r="D724" s="4">
        <f>62.8049 * CHOOSE(CONTROL!$C$9, $C$13, 100%, $E$13) + CHOOSE(CONTROL!$C$28, 0, 0)</f>
        <v>62.804900000000004</v>
      </c>
      <c r="E724" s="4">
        <f>295.693578789928 * CHOOSE(CONTROL!$C$9, $C$13, 100%, $E$13) + CHOOSE(CONTROL!$C$28, 0, 0)</f>
        <v>295.69357878992798</v>
      </c>
    </row>
    <row r="725" spans="1:5" ht="15">
      <c r="A725" s="13">
        <v>63585</v>
      </c>
      <c r="B725" s="4">
        <f>41.364 * CHOOSE(CONTROL!$C$9, $C$13, 100%, $E$13) + CHOOSE(CONTROL!$C$28, 0.0003, 0)</f>
        <v>41.3643</v>
      </c>
      <c r="C725" s="4">
        <f>41.0007 * CHOOSE(CONTROL!$C$9, $C$13, 100%, $E$13) + CHOOSE(CONTROL!$C$28, 0.0003, 0)</f>
        <v>41.001000000000005</v>
      </c>
      <c r="D725" s="4">
        <f>60.3311 * CHOOSE(CONTROL!$C$9, $C$13, 100%, $E$13) + CHOOSE(CONTROL!$C$28, 0, 0)</f>
        <v>60.331099999999999</v>
      </c>
      <c r="E725" s="4">
        <f>283.376739709047 * CHOOSE(CONTROL!$C$9, $C$13, 100%, $E$13) + CHOOSE(CONTROL!$C$28, 0, 0)</f>
        <v>283.376739709047</v>
      </c>
    </row>
    <row r="726" spans="1:5" ht="15">
      <c r="A726" s="13">
        <v>63613</v>
      </c>
      <c r="B726" s="4">
        <f>42.3278 * CHOOSE(CONTROL!$C$9, $C$13, 100%, $E$13) + CHOOSE(CONTROL!$C$28, 0.0003, 0)</f>
        <v>42.328100000000006</v>
      </c>
      <c r="C726" s="4">
        <f>41.9645 * CHOOSE(CONTROL!$C$9, $C$13, 100%, $E$13) + CHOOSE(CONTROL!$C$28, 0.0003, 0)</f>
        <v>41.964800000000004</v>
      </c>
      <c r="D726" s="4">
        <f>62.3951 * CHOOSE(CONTROL!$C$9, $C$13, 100%, $E$13) + CHOOSE(CONTROL!$C$28, 0, 0)</f>
        <v>62.395099999999999</v>
      </c>
      <c r="E726" s="4">
        <f>290.105220271809 * CHOOSE(CONTROL!$C$9, $C$13, 100%, $E$13) + CHOOSE(CONTROL!$C$28, 0, 0)</f>
        <v>290.105220271809</v>
      </c>
    </row>
    <row r="727" spans="1:5" ht="15">
      <c r="A727" s="13">
        <v>63644</v>
      </c>
      <c r="B727" s="4">
        <f>44.8587 * CHOOSE(CONTROL!$C$9, $C$13, 100%, $E$13) + CHOOSE(CONTROL!$C$28, 0.0003, 0)</f>
        <v>44.859000000000002</v>
      </c>
      <c r="C727" s="4">
        <f>44.4954 * CHOOSE(CONTROL!$C$9, $C$13, 100%, $E$13) + CHOOSE(CONTROL!$C$28, 0.0003, 0)</f>
        <v>44.495699999999999</v>
      </c>
      <c r="D727" s="4">
        <f>65.6261 * CHOOSE(CONTROL!$C$9, $C$13, 100%, $E$13) + CHOOSE(CONTROL!$C$28, 0, 0)</f>
        <v>65.626099999999994</v>
      </c>
      <c r="E727" s="4">
        <f>307.774567802793 * CHOOSE(CONTROL!$C$9, $C$13, 100%, $E$13) + CHOOSE(CONTROL!$C$28, 0, 0)</f>
        <v>307.774567802793</v>
      </c>
    </row>
    <row r="728" spans="1:5" ht="15">
      <c r="A728" s="13">
        <v>63674</v>
      </c>
      <c r="B728" s="4">
        <f>46.657 * CHOOSE(CONTROL!$C$9, $C$13, 100%, $E$13) + CHOOSE(CONTROL!$C$28, 0.0003, 0)</f>
        <v>46.657299999999999</v>
      </c>
      <c r="C728" s="4">
        <f>46.2937 * CHOOSE(CONTROL!$C$9, $C$13, 100%, $E$13) + CHOOSE(CONTROL!$C$28, 0.0003, 0)</f>
        <v>46.294000000000004</v>
      </c>
      <c r="D728" s="4">
        <f>67.4872 * CHOOSE(CONTROL!$C$9, $C$13, 100%, $E$13) + CHOOSE(CONTROL!$C$28, 0, 0)</f>
        <v>67.487200000000001</v>
      </c>
      <c r="E728" s="4">
        <f>320.328874698575 * CHOOSE(CONTROL!$C$9, $C$13, 100%, $E$13) + CHOOSE(CONTROL!$C$28, 0, 0)</f>
        <v>320.32887469857502</v>
      </c>
    </row>
    <row r="729" spans="1:5" ht="15">
      <c r="A729" s="13">
        <v>63705</v>
      </c>
      <c r="B729" s="4">
        <f>47.7557 * CHOOSE(CONTROL!$C$9, $C$13, 100%, $E$13) + CHOOSE(CONTROL!$C$28, 0.013, 0)</f>
        <v>47.768699999999995</v>
      </c>
      <c r="C729" s="4">
        <f>47.3924 * CHOOSE(CONTROL!$C$9, $C$13, 100%, $E$13) + CHOOSE(CONTROL!$C$28, 0.013, 0)</f>
        <v>47.4054</v>
      </c>
      <c r="D729" s="4">
        <f>66.7518 * CHOOSE(CONTROL!$C$9, $C$13, 100%, $E$13) + CHOOSE(CONTROL!$C$28, 0, 0)</f>
        <v>66.751800000000003</v>
      </c>
      <c r="E729" s="4">
        <f>327.999255327154 * CHOOSE(CONTROL!$C$9, $C$13, 100%, $E$13) + CHOOSE(CONTROL!$C$28, 0, 0)</f>
        <v>327.999255327154</v>
      </c>
    </row>
    <row r="730" spans="1:5" ht="15">
      <c r="A730" s="13">
        <v>63735</v>
      </c>
      <c r="B730" s="4">
        <f>47.9043 * CHOOSE(CONTROL!$C$9, $C$13, 100%, $E$13) + CHOOSE(CONTROL!$C$28, 0.013, 0)</f>
        <v>47.917299999999997</v>
      </c>
      <c r="C730" s="4">
        <f>47.5411 * CHOOSE(CONTROL!$C$9, $C$13, 100%, $E$13) + CHOOSE(CONTROL!$C$28, 0.013, 0)</f>
        <v>47.554099999999998</v>
      </c>
      <c r="D730" s="4">
        <f>67.3508 * CHOOSE(CONTROL!$C$9, $C$13, 100%, $E$13) + CHOOSE(CONTROL!$C$28, 0, 0)</f>
        <v>67.350800000000007</v>
      </c>
      <c r="E730" s="4">
        <f>329.037089658934 * CHOOSE(CONTROL!$C$9, $C$13, 100%, $E$13) + CHOOSE(CONTROL!$C$28, 0, 0)</f>
        <v>329.03708965893401</v>
      </c>
    </row>
    <row r="731" spans="1:5" ht="15">
      <c r="A731" s="13">
        <v>63766</v>
      </c>
      <c r="B731" s="4">
        <f>47.8893 * CHOOSE(CONTROL!$C$9, $C$13, 100%, $E$13) + CHOOSE(CONTROL!$C$28, 0.013, 0)</f>
        <v>47.902299999999997</v>
      </c>
      <c r="C731" s="4">
        <f>47.5261 * CHOOSE(CONTROL!$C$9, $C$13, 100%, $E$13) + CHOOSE(CONTROL!$C$28, 0.013, 0)</f>
        <v>47.539099999999998</v>
      </c>
      <c r="D731" s="4">
        <f>68.4315 * CHOOSE(CONTROL!$C$9, $C$13, 100%, $E$13) + CHOOSE(CONTROL!$C$28, 0, 0)</f>
        <v>68.4315</v>
      </c>
      <c r="E731" s="4">
        <f>328.932434096066 * CHOOSE(CONTROL!$C$9, $C$13, 100%, $E$13) + CHOOSE(CONTROL!$C$28, 0, 0)</f>
        <v>328.932434096066</v>
      </c>
    </row>
    <row r="732" spans="1:5" ht="15">
      <c r="A732" s="13">
        <v>63797</v>
      </c>
      <c r="B732" s="4">
        <f>49.0174 * CHOOSE(CONTROL!$C$9, $C$13, 100%, $E$13) + CHOOSE(CONTROL!$C$28, 0.013, 0)</f>
        <v>49.0304</v>
      </c>
      <c r="C732" s="4">
        <f>48.6541 * CHOOSE(CONTROL!$C$9, $C$13, 100%, $E$13) + CHOOSE(CONTROL!$C$28, 0.013, 0)</f>
        <v>48.667099999999998</v>
      </c>
      <c r="D732" s="4">
        <f>67.7178 * CHOOSE(CONTROL!$C$9, $C$13, 100%, $E$13) + CHOOSE(CONTROL!$C$28, 0, 0)</f>
        <v>67.717799999999997</v>
      </c>
      <c r="E732" s="4">
        <f>336.807765201929 * CHOOSE(CONTROL!$C$9, $C$13, 100%, $E$13) + CHOOSE(CONTROL!$C$28, 0, 0)</f>
        <v>336.80776520192899</v>
      </c>
    </row>
    <row r="733" spans="1:5" ht="15">
      <c r="A733" s="13">
        <v>63827</v>
      </c>
      <c r="B733" s="4">
        <f>47.0948 * CHOOSE(CONTROL!$C$9, $C$13, 100%, $E$13) + CHOOSE(CONTROL!$C$28, 0.013, 0)</f>
        <v>47.107799999999997</v>
      </c>
      <c r="C733" s="4">
        <f>46.7316 * CHOOSE(CONTROL!$C$9, $C$13, 100%, $E$13) + CHOOSE(CONTROL!$C$28, 0.013, 0)</f>
        <v>46.744599999999998</v>
      </c>
      <c r="D733" s="4">
        <f>67.3806 * CHOOSE(CONTROL!$C$9, $C$13, 100%, $E$13) + CHOOSE(CONTROL!$C$28, 0, 0)</f>
        <v>67.380600000000001</v>
      </c>
      <c r="E733" s="4">
        <f>323.385689264029 * CHOOSE(CONTROL!$C$9, $C$13, 100%, $E$13) + CHOOSE(CONTROL!$C$28, 0, 0)</f>
        <v>323.385689264029</v>
      </c>
    </row>
    <row r="734" spans="1:5" ht="15">
      <c r="A734" s="13">
        <v>63858</v>
      </c>
      <c r="B734" s="4">
        <f>45.5558 * CHOOSE(CONTROL!$C$9, $C$13, 100%, $E$13) + CHOOSE(CONTROL!$C$28, 0.0003, 0)</f>
        <v>45.556100000000001</v>
      </c>
      <c r="C734" s="4">
        <f>45.1925 * CHOOSE(CONTROL!$C$9, $C$13, 100%, $E$13) + CHOOSE(CONTROL!$C$28, 0.0003, 0)</f>
        <v>45.192800000000005</v>
      </c>
      <c r="D734" s="4">
        <f>66.4776 * CHOOSE(CONTROL!$C$9, $C$13, 100%, $E$13) + CHOOSE(CONTROL!$C$28, 0, 0)</f>
        <v>66.477599999999995</v>
      </c>
      <c r="E734" s="4">
        <f>312.641051476184 * CHOOSE(CONTROL!$C$9, $C$13, 100%, $E$13) + CHOOSE(CONTROL!$C$28, 0, 0)</f>
        <v>312.64105147618397</v>
      </c>
    </row>
    <row r="735" spans="1:5" ht="15">
      <c r="A735" s="13">
        <v>63888</v>
      </c>
      <c r="B735" s="4">
        <f>44.5645 * CHOOSE(CONTROL!$C$9, $C$13, 100%, $E$13) + CHOOSE(CONTROL!$C$28, 0.0003, 0)</f>
        <v>44.564800000000005</v>
      </c>
      <c r="C735" s="4">
        <f>44.2012 * CHOOSE(CONTROL!$C$9, $C$13, 100%, $E$13) + CHOOSE(CONTROL!$C$28, 0.0003, 0)</f>
        <v>44.201500000000003</v>
      </c>
      <c r="D735" s="4">
        <f>66.1672 * CHOOSE(CONTROL!$C$9, $C$13, 100%, $E$13) + CHOOSE(CONTROL!$C$28, 0, 0)</f>
        <v>66.167199999999994</v>
      </c>
      <c r="E735" s="4">
        <f>305.720702381497 * CHOOSE(CONTROL!$C$9, $C$13, 100%, $E$13) + CHOOSE(CONTROL!$C$28, 0, 0)</f>
        <v>305.72070238149701</v>
      </c>
    </row>
    <row r="736" spans="1:5" ht="15">
      <c r="A736" s="13">
        <v>63919</v>
      </c>
      <c r="B736" s="4">
        <f>43.8787 * CHOOSE(CONTROL!$C$9, $C$13, 100%, $E$13) + CHOOSE(CONTROL!$C$28, 0.0003, 0)</f>
        <v>43.879000000000005</v>
      </c>
      <c r="C736" s="4">
        <f>43.5154 * CHOOSE(CONTROL!$C$9, $C$13, 100%, $E$13) + CHOOSE(CONTROL!$C$28, 0.0003, 0)</f>
        <v>43.515700000000002</v>
      </c>
      <c r="D736" s="4">
        <f>63.8819 * CHOOSE(CONTROL!$C$9, $C$13, 100%, $E$13) + CHOOSE(CONTROL!$C$28, 0, 0)</f>
        <v>63.881900000000002</v>
      </c>
      <c r="E736" s="4">
        <f>300.932710380258 * CHOOSE(CONTROL!$C$9, $C$13, 100%, $E$13) + CHOOSE(CONTROL!$C$28, 0, 0)</f>
        <v>300.93271038025802</v>
      </c>
    </row>
    <row r="737" spans="1:5" ht="15">
      <c r="A737" s="13">
        <v>63950</v>
      </c>
      <c r="B737" s="4">
        <f>42.0023 * CHOOSE(CONTROL!$C$9, $C$13, 100%, $E$13) + CHOOSE(CONTROL!$C$28, 0.0003, 0)</f>
        <v>42.002600000000001</v>
      </c>
      <c r="C737" s="4">
        <f>41.639 * CHOOSE(CONTROL!$C$9, $C$13, 100%, $E$13) + CHOOSE(CONTROL!$C$28, 0.0003, 0)</f>
        <v>41.639300000000006</v>
      </c>
      <c r="D737" s="4">
        <f>61.3644 * CHOOSE(CONTROL!$C$9, $C$13, 100%, $E$13) + CHOOSE(CONTROL!$C$28, 0, 0)</f>
        <v>61.364400000000003</v>
      </c>
      <c r="E737" s="4">
        <f>288.397640179899 * CHOOSE(CONTROL!$C$9, $C$13, 100%, $E$13) + CHOOSE(CONTROL!$C$28, 0, 0)</f>
        <v>288.39764017989899</v>
      </c>
    </row>
    <row r="738" spans="1:5" ht="15">
      <c r="A738" s="13">
        <v>63978</v>
      </c>
      <c r="B738" s="4">
        <f>42.9812 * CHOOSE(CONTROL!$C$9, $C$13, 100%, $E$13) + CHOOSE(CONTROL!$C$28, 0.0003, 0)</f>
        <v>42.981500000000004</v>
      </c>
      <c r="C738" s="4">
        <f>42.6179 * CHOOSE(CONTROL!$C$9, $C$13, 100%, $E$13) + CHOOSE(CONTROL!$C$28, 0.0003, 0)</f>
        <v>42.618200000000002</v>
      </c>
      <c r="D738" s="4">
        <f>63.4648 * CHOOSE(CONTROL!$C$9, $C$13, 100%, $E$13) + CHOOSE(CONTROL!$C$28, 0, 0)</f>
        <v>63.464799999999997</v>
      </c>
      <c r="E738" s="4">
        <f>295.245336706753 * CHOOSE(CONTROL!$C$9, $C$13, 100%, $E$13) + CHOOSE(CONTROL!$C$28, 0, 0)</f>
        <v>295.24533670675299</v>
      </c>
    </row>
    <row r="739" spans="1:5" ht="15">
      <c r="A739" s="13">
        <v>64009</v>
      </c>
      <c r="B739" s="4">
        <f>45.552 * CHOOSE(CONTROL!$C$9, $C$13, 100%, $E$13) + CHOOSE(CONTROL!$C$28, 0.0003, 0)</f>
        <v>45.552300000000002</v>
      </c>
      <c r="C739" s="4">
        <f>45.1887 * CHOOSE(CONTROL!$C$9, $C$13, 100%, $E$13) + CHOOSE(CONTROL!$C$28, 0.0003, 0)</f>
        <v>45.189</v>
      </c>
      <c r="D739" s="4">
        <f>66.7529 * CHOOSE(CONTROL!$C$9, $C$13, 100%, $E$13) + CHOOSE(CONTROL!$C$28, 0, 0)</f>
        <v>66.752899999999997</v>
      </c>
      <c r="E739" s="4">
        <f>313.227751694964 * CHOOSE(CONTROL!$C$9, $C$13, 100%, $E$13) + CHOOSE(CONTROL!$C$28, 0, 0)</f>
        <v>313.22775169496401</v>
      </c>
    </row>
    <row r="740" spans="1:5" ht="15">
      <c r="A740" s="13">
        <v>64039</v>
      </c>
      <c r="B740" s="4">
        <f>47.3785 * CHOOSE(CONTROL!$C$9, $C$13, 100%, $E$13) + CHOOSE(CONTROL!$C$28, 0.0003, 0)</f>
        <v>47.378800000000005</v>
      </c>
      <c r="C740" s="4">
        <f>47.0152 * CHOOSE(CONTROL!$C$9, $C$13, 100%, $E$13) + CHOOSE(CONTROL!$C$28, 0.0003, 0)</f>
        <v>47.015500000000003</v>
      </c>
      <c r="D740" s="4">
        <f>68.6469 * CHOOSE(CONTROL!$C$9, $C$13, 100%, $E$13) + CHOOSE(CONTROL!$C$28, 0, 0)</f>
        <v>68.646900000000002</v>
      </c>
      <c r="E740" s="4">
        <f>326.004497191278 * CHOOSE(CONTROL!$C$9, $C$13, 100%, $E$13) + CHOOSE(CONTROL!$C$28, 0, 0)</f>
        <v>326.00449719127801</v>
      </c>
    </row>
    <row r="741" spans="1:5" ht="15">
      <c r="A741" s="13">
        <v>64070</v>
      </c>
      <c r="B741" s="4">
        <f>48.4945 * CHOOSE(CONTROL!$C$9, $C$13, 100%, $E$13) + CHOOSE(CONTROL!$C$28, 0.013, 0)</f>
        <v>48.5075</v>
      </c>
      <c r="C741" s="4">
        <f>48.1312 * CHOOSE(CONTROL!$C$9, $C$13, 100%, $E$13) + CHOOSE(CONTROL!$C$28, 0.013, 0)</f>
        <v>48.144199999999998</v>
      </c>
      <c r="D741" s="4">
        <f>67.8985 * CHOOSE(CONTROL!$C$9, $C$13, 100%, $E$13) + CHOOSE(CONTROL!$C$28, 0, 0)</f>
        <v>67.898499999999999</v>
      </c>
      <c r="E741" s="4">
        <f>333.810782473673 * CHOOSE(CONTROL!$C$9, $C$13, 100%, $E$13) + CHOOSE(CONTROL!$C$28, 0, 0)</f>
        <v>333.81078247367299</v>
      </c>
    </row>
    <row r="742" spans="1:5" ht="15">
      <c r="A742" s="13">
        <v>64100</v>
      </c>
      <c r="B742" s="4">
        <f>48.6455 * CHOOSE(CONTROL!$C$9, $C$13, 100%, $E$13) + CHOOSE(CONTROL!$C$28, 0.013, 0)</f>
        <v>48.658499999999997</v>
      </c>
      <c r="C742" s="4">
        <f>48.2822 * CHOOSE(CONTROL!$C$9, $C$13, 100%, $E$13) + CHOOSE(CONTROL!$C$28, 0.013, 0)</f>
        <v>48.295200000000001</v>
      </c>
      <c r="D742" s="4">
        <f>68.508 * CHOOSE(CONTROL!$C$9, $C$13, 100%, $E$13) + CHOOSE(CONTROL!$C$28, 0, 0)</f>
        <v>68.507999999999996</v>
      </c>
      <c r="E742" s="4">
        <f>334.867005269131 * CHOOSE(CONTROL!$C$9, $C$13, 100%, $E$13) + CHOOSE(CONTROL!$C$28, 0, 0)</f>
        <v>334.86700526913103</v>
      </c>
    </row>
    <row r="743" spans="1:5" ht="15">
      <c r="A743" s="13">
        <v>64131</v>
      </c>
      <c r="B743" s="4">
        <f>48.6302 * CHOOSE(CONTROL!$C$9, $C$13, 100%, $E$13) + CHOOSE(CONTROL!$C$28, 0.013, 0)</f>
        <v>48.6432</v>
      </c>
      <c r="C743" s="4">
        <f>48.267 * CHOOSE(CONTROL!$C$9, $C$13, 100%, $E$13) + CHOOSE(CONTROL!$C$28, 0.013, 0)</f>
        <v>48.28</v>
      </c>
      <c r="D743" s="4">
        <f>69.6078 * CHOOSE(CONTROL!$C$9, $C$13, 100%, $E$13) + CHOOSE(CONTROL!$C$28, 0, 0)</f>
        <v>69.607799999999997</v>
      </c>
      <c r="E743" s="4">
        <f>334.760495407404 * CHOOSE(CONTROL!$C$9, $C$13, 100%, $E$13) + CHOOSE(CONTROL!$C$28, 0, 0)</f>
        <v>334.76049540740399</v>
      </c>
    </row>
    <row r="744" spans="1:5" ht="15">
      <c r="A744" s="13">
        <v>64162</v>
      </c>
      <c r="B744" s="4">
        <f>49.776 * CHOOSE(CONTROL!$C$9, $C$13, 100%, $E$13) + CHOOSE(CONTROL!$C$28, 0.013, 0)</f>
        <v>49.789000000000001</v>
      </c>
      <c r="C744" s="4">
        <f>49.4127 * CHOOSE(CONTROL!$C$9, $C$13, 100%, $E$13) + CHOOSE(CONTROL!$C$28, 0.013, 0)</f>
        <v>49.425699999999999</v>
      </c>
      <c r="D744" s="4">
        <f>68.8815 * CHOOSE(CONTROL!$C$9, $C$13, 100%, $E$13) + CHOOSE(CONTROL!$C$28, 0, 0)</f>
        <v>68.881500000000003</v>
      </c>
      <c r="E744" s="4">
        <f>342.775362502347 * CHOOSE(CONTROL!$C$9, $C$13, 100%, $E$13) + CHOOSE(CONTROL!$C$28, 0, 0)</f>
        <v>342.77536250234698</v>
      </c>
    </row>
    <row r="745" spans="1:5" ht="15">
      <c r="A745" s="13">
        <v>64192</v>
      </c>
      <c r="B745" s="4">
        <f>47.8232 * CHOOSE(CONTROL!$C$9, $C$13, 100%, $E$13) + CHOOSE(CONTROL!$C$28, 0.013, 0)</f>
        <v>47.836199999999998</v>
      </c>
      <c r="C745" s="4">
        <f>47.46 * CHOOSE(CONTROL!$C$9, $C$13, 100%, $E$13) + CHOOSE(CONTROL!$C$28, 0.013, 0)</f>
        <v>47.472999999999999</v>
      </c>
      <c r="D745" s="4">
        <f>68.5383 * CHOOSE(CONTROL!$C$9, $C$13, 100%, $E$13) + CHOOSE(CONTROL!$C$28, 0, 0)</f>
        <v>68.538300000000007</v>
      </c>
      <c r="E745" s="4">
        <f>329.115472735882 * CHOOSE(CONTROL!$C$9, $C$13, 100%, $E$13) + CHOOSE(CONTROL!$C$28, 0, 0)</f>
        <v>329.11547273588201</v>
      </c>
    </row>
    <row r="746" spans="1:5" ht="15">
      <c r="A746" s="13">
        <v>64223</v>
      </c>
      <c r="B746" s="4">
        <f>46.26 * CHOOSE(CONTROL!$C$9, $C$13, 100%, $E$13) + CHOOSE(CONTROL!$C$28, 0.0003, 0)</f>
        <v>46.260300000000001</v>
      </c>
      <c r="C746" s="4">
        <f>45.8967 * CHOOSE(CONTROL!$C$9, $C$13, 100%, $E$13) + CHOOSE(CONTROL!$C$28, 0.0003, 0)</f>
        <v>45.897000000000006</v>
      </c>
      <c r="D746" s="4">
        <f>67.6195 * CHOOSE(CONTROL!$C$9, $C$13, 100%, $E$13) + CHOOSE(CONTROL!$C$28, 0, 0)</f>
        <v>67.619500000000002</v>
      </c>
      <c r="E746" s="4">
        <f>318.180460265262 * CHOOSE(CONTROL!$C$9, $C$13, 100%, $E$13) + CHOOSE(CONTROL!$C$28, 0, 0)</f>
        <v>318.18046026526201</v>
      </c>
    </row>
    <row r="747" spans="1:5" ht="15">
      <c r="A747" s="13">
        <v>64253</v>
      </c>
      <c r="B747" s="4">
        <f>45.2531 * CHOOSE(CONTROL!$C$9, $C$13, 100%, $E$13) + CHOOSE(CONTROL!$C$28, 0.0003, 0)</f>
        <v>45.253400000000006</v>
      </c>
      <c r="C747" s="4">
        <f>44.8898 * CHOOSE(CONTROL!$C$9, $C$13, 100%, $E$13) + CHOOSE(CONTROL!$C$28, 0.0003, 0)</f>
        <v>44.890100000000004</v>
      </c>
      <c r="D747" s="4">
        <f>67.3036 * CHOOSE(CONTROL!$C$9, $C$13, 100%, $E$13) + CHOOSE(CONTROL!$C$28, 0, 0)</f>
        <v>67.303600000000003</v>
      </c>
      <c r="E747" s="4">
        <f>311.137495658576 * CHOOSE(CONTROL!$C$9, $C$13, 100%, $E$13) + CHOOSE(CONTROL!$C$28, 0, 0)</f>
        <v>311.13749565857597</v>
      </c>
    </row>
    <row r="748" spans="1:5" ht="15">
      <c r="A748" s="13">
        <v>64284</v>
      </c>
      <c r="B748" s="4">
        <f>44.5565 * CHOOSE(CONTROL!$C$9, $C$13, 100%, $E$13) + CHOOSE(CONTROL!$C$28, 0.0003, 0)</f>
        <v>44.556800000000003</v>
      </c>
      <c r="C748" s="4">
        <f>44.1932 * CHOOSE(CONTROL!$C$9, $C$13, 100%, $E$13) + CHOOSE(CONTROL!$C$28, 0.0003, 0)</f>
        <v>44.1935</v>
      </c>
      <c r="D748" s="4">
        <f>64.9778 * CHOOSE(CONTROL!$C$9, $C$13, 100%, $E$13) + CHOOSE(CONTROL!$C$28, 0, 0)</f>
        <v>64.977800000000002</v>
      </c>
      <c r="E748" s="4">
        <f>306.264669484573 * CHOOSE(CONTROL!$C$9, $C$13, 100%, $E$13) + CHOOSE(CONTROL!$C$28, 0, 0)</f>
        <v>306.26466948457301</v>
      </c>
    </row>
    <row r="749" spans="1:5" ht="15">
      <c r="A749" s="13">
        <v>64315</v>
      </c>
      <c r="B749" s="4">
        <f>42.6506 * CHOOSE(CONTROL!$C$9, $C$13, 100%, $E$13) + CHOOSE(CONTROL!$C$28, 0.0003, 0)</f>
        <v>42.6509</v>
      </c>
      <c r="C749" s="4">
        <f>42.2873 * CHOOSE(CONTROL!$C$9, $C$13, 100%, $E$13) + CHOOSE(CONTROL!$C$28, 0.0003, 0)</f>
        <v>42.287600000000005</v>
      </c>
      <c r="D749" s="4">
        <f>62.4159 * CHOOSE(CONTROL!$C$9, $C$13, 100%, $E$13) + CHOOSE(CONTROL!$C$28, 0, 0)</f>
        <v>62.415900000000001</v>
      </c>
      <c r="E749" s="4">
        <f>293.507501521583 * CHOOSE(CONTROL!$C$9, $C$13, 100%, $E$13) + CHOOSE(CONTROL!$C$28, 0, 0)</f>
        <v>293.50750152158298</v>
      </c>
    </row>
    <row r="750" spans="1:5" ht="15">
      <c r="A750" s="13">
        <v>64344</v>
      </c>
      <c r="B750" s="4">
        <f>43.6449 * CHOOSE(CONTROL!$C$9, $C$13, 100%, $E$13) + CHOOSE(CONTROL!$C$28, 0.0003, 0)</f>
        <v>43.645200000000003</v>
      </c>
      <c r="C750" s="4">
        <f>43.2816 * CHOOSE(CONTROL!$C$9, $C$13, 100%, $E$13) + CHOOSE(CONTROL!$C$28, 0.0003, 0)</f>
        <v>43.2819</v>
      </c>
      <c r="D750" s="4">
        <f>64.5534 * CHOOSE(CONTROL!$C$9, $C$13, 100%, $E$13) + CHOOSE(CONTROL!$C$28, 0, 0)</f>
        <v>64.553399999999996</v>
      </c>
      <c r="E750" s="4">
        <f>300.476526294189 * CHOOSE(CONTROL!$C$9, $C$13, 100%, $E$13) + CHOOSE(CONTROL!$C$28, 0, 0)</f>
        <v>300.476526294189</v>
      </c>
    </row>
    <row r="751" spans="1:5" ht="15">
      <c r="A751" s="13">
        <v>64375</v>
      </c>
      <c r="B751" s="4">
        <f>46.2561 * CHOOSE(CONTROL!$C$9, $C$13, 100%, $E$13) + CHOOSE(CONTROL!$C$28, 0.0003, 0)</f>
        <v>46.256400000000006</v>
      </c>
      <c r="C751" s="4">
        <f>45.8928 * CHOOSE(CONTROL!$C$9, $C$13, 100%, $E$13) + CHOOSE(CONTROL!$C$28, 0.0003, 0)</f>
        <v>45.893100000000004</v>
      </c>
      <c r="D751" s="4">
        <f>67.8996 * CHOOSE(CONTROL!$C$9, $C$13, 100%, $E$13) + CHOOSE(CONTROL!$C$28, 0, 0)</f>
        <v>67.899600000000007</v>
      </c>
      <c r="E751" s="4">
        <f>318.777555703522 * CHOOSE(CONTROL!$C$9, $C$13, 100%, $E$13) + CHOOSE(CONTROL!$C$28, 0, 0)</f>
        <v>318.77755570352201</v>
      </c>
    </row>
    <row r="752" spans="1:5" ht="15">
      <c r="A752" s="13">
        <v>64405</v>
      </c>
      <c r="B752" s="4">
        <f>48.1114 * CHOOSE(CONTROL!$C$9, $C$13, 100%, $E$13) + CHOOSE(CONTROL!$C$28, 0.0003, 0)</f>
        <v>48.111700000000006</v>
      </c>
      <c r="C752" s="4">
        <f>47.7481 * CHOOSE(CONTROL!$C$9, $C$13, 100%, $E$13) + CHOOSE(CONTROL!$C$28, 0.0003, 0)</f>
        <v>47.748400000000004</v>
      </c>
      <c r="D752" s="4">
        <f>69.8271 * CHOOSE(CONTROL!$C$9, $C$13, 100%, $E$13) + CHOOSE(CONTROL!$C$28, 0, 0)</f>
        <v>69.827100000000002</v>
      </c>
      <c r="E752" s="4">
        <f>331.780680992137 * CHOOSE(CONTROL!$C$9, $C$13, 100%, $E$13) + CHOOSE(CONTROL!$C$28, 0, 0)</f>
        <v>331.78068099213698</v>
      </c>
    </row>
    <row r="753" spans="1:5" ht="15">
      <c r="A753" s="13">
        <v>64436</v>
      </c>
      <c r="B753" s="4">
        <f>49.2449 * CHOOSE(CONTROL!$C$9, $C$13, 100%, $E$13) + CHOOSE(CONTROL!$C$28, 0.013, 0)</f>
        <v>49.257899999999999</v>
      </c>
      <c r="C753" s="4">
        <f>48.8816 * CHOOSE(CONTROL!$C$9, $C$13, 100%, $E$13) + CHOOSE(CONTROL!$C$28, 0.013, 0)</f>
        <v>48.894599999999997</v>
      </c>
      <c r="D753" s="4">
        <f>69.0654 * CHOOSE(CONTROL!$C$9, $C$13, 100%, $E$13) + CHOOSE(CONTROL!$C$28, 0, 0)</f>
        <v>69.065399999999997</v>
      </c>
      <c r="E753" s="4">
        <f>339.725278902061 * CHOOSE(CONTROL!$C$9, $C$13, 100%, $E$13) + CHOOSE(CONTROL!$C$28, 0, 0)</f>
        <v>339.72527890206101</v>
      </c>
    </row>
    <row r="754" spans="1:5" ht="15">
      <c r="A754" s="13">
        <v>64466</v>
      </c>
      <c r="B754" s="4">
        <f>49.3982 * CHOOSE(CONTROL!$C$9, $C$13, 100%, $E$13) + CHOOSE(CONTROL!$C$28, 0.013, 0)</f>
        <v>49.411200000000001</v>
      </c>
      <c r="C754" s="4">
        <f>49.035 * CHOOSE(CONTROL!$C$9, $C$13, 100%, $E$13) + CHOOSE(CONTROL!$C$28, 0.013, 0)</f>
        <v>49.047999999999995</v>
      </c>
      <c r="D754" s="4">
        <f>69.6857 * CHOOSE(CONTROL!$C$9, $C$13, 100%, $E$13) + CHOOSE(CONTROL!$C$28, 0, 0)</f>
        <v>69.685699999999997</v>
      </c>
      <c r="E754" s="4">
        <f>340.800215970033 * CHOOSE(CONTROL!$C$9, $C$13, 100%, $E$13) + CHOOSE(CONTROL!$C$28, 0, 0)</f>
        <v>340.80021597003298</v>
      </c>
    </row>
    <row r="755" spans="1:5" ht="15">
      <c r="A755" s="13">
        <v>64497</v>
      </c>
      <c r="B755" s="4">
        <f>49.3828 * CHOOSE(CONTROL!$C$9, $C$13, 100%, $E$13) + CHOOSE(CONTROL!$C$28, 0.013, 0)</f>
        <v>49.395800000000001</v>
      </c>
      <c r="C755" s="4">
        <f>49.0195 * CHOOSE(CONTROL!$C$9, $C$13, 100%, $E$13) + CHOOSE(CONTROL!$C$28, 0.013, 0)</f>
        <v>49.032499999999999</v>
      </c>
      <c r="D755" s="4">
        <f>70.805 * CHOOSE(CONTROL!$C$9, $C$13, 100%, $E$13) + CHOOSE(CONTROL!$C$28, 0, 0)</f>
        <v>70.805000000000007</v>
      </c>
      <c r="E755" s="4">
        <f>340.691818954775 * CHOOSE(CONTROL!$C$9, $C$13, 100%, $E$13) + CHOOSE(CONTROL!$C$28, 0, 0)</f>
        <v>340.69181895477499</v>
      </c>
    </row>
    <row r="756" spans="1:5" ht="15">
      <c r="A756" s="13">
        <v>64528</v>
      </c>
      <c r="B756" s="4">
        <f>50.5466 * CHOOSE(CONTROL!$C$9, $C$13, 100%, $E$13) + CHOOSE(CONTROL!$C$28, 0.013, 0)</f>
        <v>50.559599999999996</v>
      </c>
      <c r="C756" s="4">
        <f>50.1833 * CHOOSE(CONTROL!$C$9, $C$13, 100%, $E$13) + CHOOSE(CONTROL!$C$28, 0.013, 0)</f>
        <v>50.196300000000001</v>
      </c>
      <c r="D756" s="4">
        <f>70.0658 * CHOOSE(CONTROL!$C$9, $C$13, 100%, $E$13) + CHOOSE(CONTROL!$C$28, 0, 0)</f>
        <v>70.065799999999996</v>
      </c>
      <c r="E756" s="4">
        <f>348.848694352913 * CHOOSE(CONTROL!$C$9, $C$13, 100%, $E$13) + CHOOSE(CONTROL!$C$28, 0, 0)</f>
        <v>348.84869435291301</v>
      </c>
    </row>
    <row r="757" spans="1:5" ht="15">
      <c r="A757" s="13">
        <v>64558</v>
      </c>
      <c r="B757" s="4">
        <f>48.5631 * CHOOSE(CONTROL!$C$9, $C$13, 100%, $E$13) + CHOOSE(CONTROL!$C$28, 0.013, 0)</f>
        <v>48.576099999999997</v>
      </c>
      <c r="C757" s="4">
        <f>48.1998 * CHOOSE(CONTROL!$C$9, $C$13, 100%, $E$13) + CHOOSE(CONTROL!$C$28, 0.013, 0)</f>
        <v>48.212800000000001</v>
      </c>
      <c r="D757" s="4">
        <f>69.7166 * CHOOSE(CONTROL!$C$9, $C$13, 100%, $E$13) + CHOOSE(CONTROL!$C$28, 0, 0)</f>
        <v>69.7166</v>
      </c>
      <c r="E757" s="4">
        <f>334.94677714612 * CHOOSE(CONTROL!$C$9, $C$13, 100%, $E$13) + CHOOSE(CONTROL!$C$28, 0, 0)</f>
        <v>334.94677714611998</v>
      </c>
    </row>
    <row r="758" spans="1:5" ht="15">
      <c r="A758" s="13">
        <v>64589</v>
      </c>
      <c r="B758" s="4">
        <f>46.9753 * CHOOSE(CONTROL!$C$9, $C$13, 100%, $E$13) + CHOOSE(CONTROL!$C$28, 0.0003, 0)</f>
        <v>46.9756</v>
      </c>
      <c r="C758" s="4">
        <f>46.612 * CHOOSE(CONTROL!$C$9, $C$13, 100%, $E$13) + CHOOSE(CONTROL!$C$28, 0.0003, 0)</f>
        <v>46.612300000000005</v>
      </c>
      <c r="D758" s="4">
        <f>68.7815 * CHOOSE(CONTROL!$C$9, $C$13, 100%, $E$13) + CHOOSE(CONTROL!$C$28, 0, 0)</f>
        <v>68.781499999999994</v>
      </c>
      <c r="E758" s="4">
        <f>323.818016913002 * CHOOSE(CONTROL!$C$9, $C$13, 100%, $E$13) + CHOOSE(CONTROL!$C$28, 0, 0)</f>
        <v>323.818016913002</v>
      </c>
    </row>
    <row r="759" spans="1:5" ht="15">
      <c r="A759" s="13">
        <v>64619</v>
      </c>
      <c r="B759" s="4">
        <f>45.9526 * CHOOSE(CONTROL!$C$9, $C$13, 100%, $E$13) + CHOOSE(CONTROL!$C$28, 0.0003, 0)</f>
        <v>45.9529</v>
      </c>
      <c r="C759" s="4">
        <f>45.5893 * CHOOSE(CONTROL!$C$9, $C$13, 100%, $E$13) + CHOOSE(CONTROL!$C$28, 0.0003, 0)</f>
        <v>45.589600000000004</v>
      </c>
      <c r="D759" s="4">
        <f>68.46 * CHOOSE(CONTROL!$C$9, $C$13, 100%, $E$13) + CHOOSE(CONTROL!$C$28, 0, 0)</f>
        <v>68.459999999999994</v>
      </c>
      <c r="E759" s="4">
        <f>316.65026427909 * CHOOSE(CONTROL!$C$9, $C$13, 100%, $E$13) + CHOOSE(CONTROL!$C$28, 0, 0)</f>
        <v>316.65026427908998</v>
      </c>
    </row>
    <row r="760" spans="1:5" ht="15">
      <c r="A760" s="13">
        <v>64650</v>
      </c>
      <c r="B760" s="4">
        <f>45.245 * CHOOSE(CONTROL!$C$9, $C$13, 100%, $E$13) + CHOOSE(CONTROL!$C$28, 0.0003, 0)</f>
        <v>45.2453</v>
      </c>
      <c r="C760" s="4">
        <f>44.8817 * CHOOSE(CONTROL!$C$9, $C$13, 100%, $E$13) + CHOOSE(CONTROL!$C$28, 0.0003, 0)</f>
        <v>44.882000000000005</v>
      </c>
      <c r="D760" s="4">
        <f>66.0932 * CHOOSE(CONTROL!$C$9, $C$13, 100%, $E$13) + CHOOSE(CONTROL!$C$28, 0, 0)</f>
        <v>66.093199999999996</v>
      </c>
      <c r="E760" s="4">
        <f>311.691100831053 * CHOOSE(CONTROL!$C$9, $C$13, 100%, $E$13) + CHOOSE(CONTROL!$C$28, 0, 0)</f>
        <v>311.69110083105301</v>
      </c>
    </row>
    <row r="761" spans="1:5" ht="15">
      <c r="A761" s="13">
        <v>64681</v>
      </c>
      <c r="B761" s="4">
        <f>43.3091 * CHOOSE(CONTROL!$C$9, $C$13, 100%, $E$13) + CHOOSE(CONTROL!$C$28, 0.0003, 0)</f>
        <v>43.309400000000004</v>
      </c>
      <c r="C761" s="4">
        <f>42.9458 * CHOOSE(CONTROL!$C$9, $C$13, 100%, $E$13) + CHOOSE(CONTROL!$C$28, 0.0003, 0)</f>
        <v>42.946100000000001</v>
      </c>
      <c r="D761" s="4">
        <f>63.4859 * CHOOSE(CONTROL!$C$9, $C$13, 100%, $E$13) + CHOOSE(CONTROL!$C$28, 0, 0)</f>
        <v>63.485900000000001</v>
      </c>
      <c r="E761" s="4">
        <f>298.707899952666 * CHOOSE(CONTROL!$C$9, $C$13, 100%, $E$13) + CHOOSE(CONTROL!$C$28, 0, 0)</f>
        <v>298.70789995266603</v>
      </c>
    </row>
    <row r="762" spans="1:5" ht="15">
      <c r="A762" s="13">
        <v>64709</v>
      </c>
      <c r="B762" s="4">
        <f>44.3191 * CHOOSE(CONTROL!$C$9, $C$13, 100%, $E$13) + CHOOSE(CONTROL!$C$28, 0.0003, 0)</f>
        <v>44.319400000000002</v>
      </c>
      <c r="C762" s="4">
        <f>43.9558 * CHOOSE(CONTROL!$C$9, $C$13, 100%, $E$13) + CHOOSE(CONTROL!$C$28, 0.0003, 0)</f>
        <v>43.956100000000006</v>
      </c>
      <c r="D762" s="4">
        <f>65.6612 * CHOOSE(CONTROL!$C$9, $C$13, 100%, $E$13) + CHOOSE(CONTROL!$C$28, 0, 0)</f>
        <v>65.661199999999994</v>
      </c>
      <c r="E762" s="4">
        <f>305.800402678325 * CHOOSE(CONTROL!$C$9, $C$13, 100%, $E$13) + CHOOSE(CONTROL!$C$28, 0, 0)</f>
        <v>305.80040267832499</v>
      </c>
    </row>
    <row r="763" spans="1:5" ht="15">
      <c r="A763" s="13">
        <v>64740</v>
      </c>
      <c r="B763" s="4">
        <f>46.9713 * CHOOSE(CONTROL!$C$9, $C$13, 100%, $E$13) + CHOOSE(CONTROL!$C$28, 0.0003, 0)</f>
        <v>46.971600000000002</v>
      </c>
      <c r="C763" s="4">
        <f>46.608 * CHOOSE(CONTROL!$C$9, $C$13, 100%, $E$13) + CHOOSE(CONTROL!$C$28, 0.0003, 0)</f>
        <v>46.6083</v>
      </c>
      <c r="D763" s="4">
        <f>69.0665 * CHOOSE(CONTROL!$C$9, $C$13, 100%, $E$13) + CHOOSE(CONTROL!$C$28, 0, 0)</f>
        <v>69.066500000000005</v>
      </c>
      <c r="E763" s="4">
        <f>324.425691754392 * CHOOSE(CONTROL!$C$9, $C$13, 100%, $E$13) + CHOOSE(CONTROL!$C$28, 0, 0)</f>
        <v>324.42569175439201</v>
      </c>
    </row>
    <row r="764" spans="1:5" ht="15">
      <c r="A764" s="13">
        <v>64770</v>
      </c>
      <c r="B764" s="4">
        <f>48.8557 * CHOOSE(CONTROL!$C$9, $C$13, 100%, $E$13) + CHOOSE(CONTROL!$C$28, 0.0003, 0)</f>
        <v>48.856000000000002</v>
      </c>
      <c r="C764" s="4">
        <f>48.4925 * CHOOSE(CONTROL!$C$9, $C$13, 100%, $E$13) + CHOOSE(CONTROL!$C$28, 0.0003, 0)</f>
        <v>48.492800000000003</v>
      </c>
      <c r="D764" s="4">
        <f>71.0281 * CHOOSE(CONTROL!$C$9, $C$13, 100%, $E$13) + CHOOSE(CONTROL!$C$28, 0, 0)</f>
        <v>71.028099999999995</v>
      </c>
      <c r="E764" s="4">
        <f>337.65920785755 * CHOOSE(CONTROL!$C$9, $C$13, 100%, $E$13) + CHOOSE(CONTROL!$C$28, 0, 0)</f>
        <v>337.65920785754997</v>
      </c>
    </row>
    <row r="765" spans="1:5" ht="15">
      <c r="A765" s="13">
        <v>64801</v>
      </c>
      <c r="B765" s="4">
        <f>50.0071 * CHOOSE(CONTROL!$C$9, $C$13, 100%, $E$13) + CHOOSE(CONTROL!$C$28, 0.013, 0)</f>
        <v>50.020099999999999</v>
      </c>
      <c r="C765" s="4">
        <f>49.6438 * CHOOSE(CONTROL!$C$9, $C$13, 100%, $E$13) + CHOOSE(CONTROL!$C$28, 0.013, 0)</f>
        <v>49.656799999999997</v>
      </c>
      <c r="D765" s="4">
        <f>70.253 * CHOOSE(CONTROL!$C$9, $C$13, 100%, $E$13) + CHOOSE(CONTROL!$C$28, 0, 0)</f>
        <v>70.253</v>
      </c>
      <c r="E765" s="4">
        <f>345.744569033464 * CHOOSE(CONTROL!$C$9, $C$13, 100%, $E$13) + CHOOSE(CONTROL!$C$28, 0, 0)</f>
        <v>345.74456903346402</v>
      </c>
    </row>
    <row r="766" spans="1:5" ht="15">
      <c r="A766" s="13">
        <v>64831</v>
      </c>
      <c r="B766" s="4">
        <f>50.1629 * CHOOSE(CONTROL!$C$9, $C$13, 100%, $E$13) + CHOOSE(CONTROL!$C$28, 0.013, 0)</f>
        <v>50.175899999999999</v>
      </c>
      <c r="C766" s="4">
        <f>49.7996 * CHOOSE(CONTROL!$C$9, $C$13, 100%, $E$13) + CHOOSE(CONTROL!$C$28, 0.013, 0)</f>
        <v>49.812599999999996</v>
      </c>
      <c r="D766" s="4">
        <f>70.8842 * CHOOSE(CONTROL!$C$9, $C$13, 100%, $E$13) + CHOOSE(CONTROL!$C$28, 0, 0)</f>
        <v>70.884200000000007</v>
      </c>
      <c r="E766" s="4">
        <f>346.838551955503 * CHOOSE(CONTROL!$C$9, $C$13, 100%, $E$13) + CHOOSE(CONTROL!$C$28, 0, 0)</f>
        <v>346.83855195550302</v>
      </c>
    </row>
    <row r="767" spans="1:5" ht="15">
      <c r="A767" s="13">
        <v>64862</v>
      </c>
      <c r="B767" s="4">
        <f>50.1472 * CHOOSE(CONTROL!$C$9, $C$13, 100%, $E$13) + CHOOSE(CONTROL!$C$28, 0.013, 0)</f>
        <v>50.160199999999996</v>
      </c>
      <c r="C767" s="4">
        <f>49.7839 * CHOOSE(CONTROL!$C$9, $C$13, 100%, $E$13) + CHOOSE(CONTROL!$C$28, 0.013, 0)</f>
        <v>49.796900000000001</v>
      </c>
      <c r="D767" s="4">
        <f>72.0233 * CHOOSE(CONTROL!$C$9, $C$13, 100%, $E$13) + CHOOSE(CONTROL!$C$28, 0, 0)</f>
        <v>72.023300000000006</v>
      </c>
      <c r="E767" s="4">
        <f>346.728234349919 * CHOOSE(CONTROL!$C$9, $C$13, 100%, $E$13) + CHOOSE(CONTROL!$C$28, 0, 0)</f>
        <v>346.72823434991898</v>
      </c>
    </row>
    <row r="768" spans="1:5" ht="15">
      <c r="A768" s="13">
        <v>64893</v>
      </c>
      <c r="B768" s="4">
        <f>51.3293 * CHOOSE(CONTROL!$C$9, $C$13, 100%, $E$13) + CHOOSE(CONTROL!$C$28, 0.013, 0)</f>
        <v>51.342300000000002</v>
      </c>
      <c r="C768" s="4">
        <f>50.966 * CHOOSE(CONTROL!$C$9, $C$13, 100%, $E$13) + CHOOSE(CONTROL!$C$28, 0.013, 0)</f>
        <v>50.978999999999999</v>
      </c>
      <c r="D768" s="4">
        <f>71.271 * CHOOSE(CONTROL!$C$9, $C$13, 100%, $E$13) + CHOOSE(CONTROL!$C$28, 0, 0)</f>
        <v>71.271000000000001</v>
      </c>
      <c r="E768" s="4">
        <f>355.029634170101 * CHOOSE(CONTROL!$C$9, $C$13, 100%, $E$13) + CHOOSE(CONTROL!$C$28, 0, 0)</f>
        <v>355.02963417010102</v>
      </c>
    </row>
    <row r="769" spans="1:5" ht="15">
      <c r="A769" s="13">
        <v>64923</v>
      </c>
      <c r="B769" s="4">
        <f>49.3146 * CHOOSE(CONTROL!$C$9, $C$13, 100%, $E$13) + CHOOSE(CONTROL!$C$28, 0.013, 0)</f>
        <v>49.327599999999997</v>
      </c>
      <c r="C769" s="4">
        <f>48.9513 * CHOOSE(CONTROL!$C$9, $C$13, 100%, $E$13) + CHOOSE(CONTROL!$C$28, 0.013, 0)</f>
        <v>48.964300000000001</v>
      </c>
      <c r="D769" s="4">
        <f>70.9156 * CHOOSE(CONTROL!$C$9, $C$13, 100%, $E$13) + CHOOSE(CONTROL!$C$28, 0, 0)</f>
        <v>70.915599999999998</v>
      </c>
      <c r="E769" s="4">
        <f>340.881401253978 * CHOOSE(CONTROL!$C$9, $C$13, 100%, $E$13) + CHOOSE(CONTROL!$C$28, 0, 0)</f>
        <v>340.88140125397803</v>
      </c>
    </row>
    <row r="770" spans="1:5" ht="15">
      <c r="A770" s="13">
        <v>64954</v>
      </c>
      <c r="B770" s="4">
        <f>47.7018 * CHOOSE(CONTROL!$C$9, $C$13, 100%, $E$13) + CHOOSE(CONTROL!$C$28, 0.0003, 0)</f>
        <v>47.702100000000002</v>
      </c>
      <c r="C770" s="4">
        <f>47.3385 * CHOOSE(CONTROL!$C$9, $C$13, 100%, $E$13) + CHOOSE(CONTROL!$C$28, 0.0003, 0)</f>
        <v>47.338800000000006</v>
      </c>
      <c r="D770" s="4">
        <f>69.964 * CHOOSE(CONTROL!$C$9, $C$13, 100%, $E$13) + CHOOSE(CONTROL!$C$28, 0, 0)</f>
        <v>69.963999999999999</v>
      </c>
      <c r="E770" s="4">
        <f>329.555460414039 * CHOOSE(CONTROL!$C$9, $C$13, 100%, $E$13) + CHOOSE(CONTROL!$C$28, 0, 0)</f>
        <v>329.55546041403898</v>
      </c>
    </row>
    <row r="771" spans="1:5" ht="15">
      <c r="A771" s="13">
        <v>64984</v>
      </c>
      <c r="B771" s="4">
        <f>46.663 * CHOOSE(CONTROL!$C$9, $C$13, 100%, $E$13) + CHOOSE(CONTROL!$C$28, 0.0003, 0)</f>
        <v>46.6633</v>
      </c>
      <c r="C771" s="4">
        <f>46.2997 * CHOOSE(CONTROL!$C$9, $C$13, 100%, $E$13) + CHOOSE(CONTROL!$C$28, 0.0003, 0)</f>
        <v>46.300000000000004</v>
      </c>
      <c r="D771" s="4">
        <f>69.6368 * CHOOSE(CONTROL!$C$9, $C$13, 100%, $E$13) + CHOOSE(CONTROL!$C$28, 0, 0)</f>
        <v>69.636799999999994</v>
      </c>
      <c r="E771" s="4">
        <f>322.26070874481 * CHOOSE(CONTROL!$C$9, $C$13, 100%, $E$13) + CHOOSE(CONTROL!$C$28, 0, 0)</f>
        <v>322.26070874481002</v>
      </c>
    </row>
    <row r="772" spans="1:5" ht="15">
      <c r="A772" s="13">
        <v>65015</v>
      </c>
      <c r="B772" s="4">
        <f>45.9443 * CHOOSE(CONTROL!$C$9, $C$13, 100%, $E$13) + CHOOSE(CONTROL!$C$28, 0.0003, 0)</f>
        <v>45.944600000000001</v>
      </c>
      <c r="C772" s="4">
        <f>45.581 * CHOOSE(CONTROL!$C$9, $C$13, 100%, $E$13) + CHOOSE(CONTROL!$C$28, 0.0003, 0)</f>
        <v>45.581300000000006</v>
      </c>
      <c r="D772" s="4">
        <f>67.2282 * CHOOSE(CONTROL!$C$9, $C$13, 100%, $E$13) + CHOOSE(CONTROL!$C$28, 0, 0)</f>
        <v>67.228200000000001</v>
      </c>
      <c r="E772" s="4">
        <f>317.213678289351 * CHOOSE(CONTROL!$C$9, $C$13, 100%, $E$13) + CHOOSE(CONTROL!$C$28, 0, 0)</f>
        <v>317.21367828935098</v>
      </c>
    </row>
    <row r="773" spans="1:5" ht="15">
      <c r="A773" s="13">
        <v>65046</v>
      </c>
      <c r="B773" s="4">
        <f>43.978 * CHOOSE(CONTROL!$C$9, $C$13, 100%, $E$13) + CHOOSE(CONTROL!$C$28, 0.0003, 0)</f>
        <v>43.978300000000004</v>
      </c>
      <c r="C773" s="4">
        <f>43.6147 * CHOOSE(CONTROL!$C$9, $C$13, 100%, $E$13) + CHOOSE(CONTROL!$C$28, 0.0003, 0)</f>
        <v>43.615000000000002</v>
      </c>
      <c r="D773" s="4">
        <f>64.5749 * CHOOSE(CONTROL!$C$9, $C$13, 100%, $E$13) + CHOOSE(CONTROL!$C$28, 0, 0)</f>
        <v>64.5749</v>
      </c>
      <c r="E773" s="4">
        <f>304.000439619328 * CHOOSE(CONTROL!$C$9, $C$13, 100%, $E$13) + CHOOSE(CONTROL!$C$28, 0, 0)</f>
        <v>304.00043961932801</v>
      </c>
    </row>
    <row r="774" spans="1:5" ht="15">
      <c r="A774" s="13">
        <v>65074</v>
      </c>
      <c r="B774" s="4">
        <f>45.0038 * CHOOSE(CONTROL!$C$9, $C$13, 100%, $E$13) + CHOOSE(CONTROL!$C$28, 0.0003, 0)</f>
        <v>45.004100000000001</v>
      </c>
      <c r="C774" s="4">
        <f>44.6406 * CHOOSE(CONTROL!$C$9, $C$13, 100%, $E$13) + CHOOSE(CONTROL!$C$28, 0.0003, 0)</f>
        <v>44.640900000000002</v>
      </c>
      <c r="D774" s="4">
        <f>66.7886 * CHOOSE(CONTROL!$C$9, $C$13, 100%, $E$13) + CHOOSE(CONTROL!$C$28, 0, 0)</f>
        <v>66.788600000000002</v>
      </c>
      <c r="E774" s="4">
        <f>311.218608094094 * CHOOSE(CONTROL!$C$9, $C$13, 100%, $E$13) + CHOOSE(CONTROL!$C$28, 0, 0)</f>
        <v>311.21860809409401</v>
      </c>
    </row>
    <row r="775" spans="1:5" ht="15">
      <c r="A775" s="13">
        <v>65105</v>
      </c>
      <c r="B775" s="4">
        <f>47.6978 * CHOOSE(CONTROL!$C$9, $C$13, 100%, $E$13) + CHOOSE(CONTROL!$C$28, 0.0003, 0)</f>
        <v>47.698100000000004</v>
      </c>
      <c r="C775" s="4">
        <f>47.3345 * CHOOSE(CONTROL!$C$9, $C$13, 100%, $E$13) + CHOOSE(CONTROL!$C$28, 0.0003, 0)</f>
        <v>47.334800000000001</v>
      </c>
      <c r="D775" s="4">
        <f>70.2541 * CHOOSE(CONTROL!$C$9, $C$13, 100%, $E$13) + CHOOSE(CONTROL!$C$28, 0, 0)</f>
        <v>70.254099999999994</v>
      </c>
      <c r="E775" s="4">
        <f>330.173902105597 * CHOOSE(CONTROL!$C$9, $C$13, 100%, $E$13) + CHOOSE(CONTROL!$C$28, 0, 0)</f>
        <v>330.17390210559699</v>
      </c>
    </row>
    <row r="776" spans="1:5" ht="15">
      <c r="A776" s="13">
        <v>65135</v>
      </c>
      <c r="B776" s="4">
        <f>49.6118 * CHOOSE(CONTROL!$C$9, $C$13, 100%, $E$13) + CHOOSE(CONTROL!$C$28, 0.0003, 0)</f>
        <v>49.612100000000005</v>
      </c>
      <c r="C776" s="4">
        <f>49.2485 * CHOOSE(CONTROL!$C$9, $C$13, 100%, $E$13) + CHOOSE(CONTROL!$C$28, 0.0003, 0)</f>
        <v>49.248800000000003</v>
      </c>
      <c r="D776" s="4">
        <f>72.2503 * CHOOSE(CONTROL!$C$9, $C$13, 100%, $E$13) + CHOOSE(CONTROL!$C$28, 0, 0)</f>
        <v>72.250299999999996</v>
      </c>
      <c r="E776" s="4">
        <f>343.641891113276 * CHOOSE(CONTROL!$C$9, $C$13, 100%, $E$13) + CHOOSE(CONTROL!$C$28, 0, 0)</f>
        <v>343.64189111327602</v>
      </c>
    </row>
    <row r="777" spans="1:5" ht="15">
      <c r="A777" s="13">
        <v>65166</v>
      </c>
      <c r="B777" s="4">
        <f>50.7813 * CHOOSE(CONTROL!$C$9, $C$13, 100%, $E$13) + CHOOSE(CONTROL!$C$28, 0.013, 0)</f>
        <v>50.7943</v>
      </c>
      <c r="C777" s="4">
        <f>50.418 * CHOOSE(CONTROL!$C$9, $C$13, 100%, $E$13) + CHOOSE(CONTROL!$C$28, 0.013, 0)</f>
        <v>50.430999999999997</v>
      </c>
      <c r="D777" s="4">
        <f>71.4615 * CHOOSE(CONTROL!$C$9, $C$13, 100%, $E$13) + CHOOSE(CONTROL!$C$28, 0, 0)</f>
        <v>71.461500000000001</v>
      </c>
      <c r="E777" s="4">
        <f>351.870509614321 * CHOOSE(CONTROL!$C$9, $C$13, 100%, $E$13) + CHOOSE(CONTROL!$C$28, 0, 0)</f>
        <v>351.87050961432101</v>
      </c>
    </row>
    <row r="778" spans="1:5" ht="15">
      <c r="A778" s="13">
        <v>65196</v>
      </c>
      <c r="B778" s="4">
        <f>50.9395 * CHOOSE(CONTROL!$C$9, $C$13, 100%, $E$13) + CHOOSE(CONTROL!$C$28, 0.013, 0)</f>
        <v>50.952500000000001</v>
      </c>
      <c r="C778" s="4">
        <f>50.5762 * CHOOSE(CONTROL!$C$9, $C$13, 100%, $E$13) + CHOOSE(CONTROL!$C$28, 0.013, 0)</f>
        <v>50.589199999999998</v>
      </c>
      <c r="D778" s="4">
        <f>72.1039 * CHOOSE(CONTROL!$C$9, $C$13, 100%, $E$13) + CHOOSE(CONTROL!$C$28, 0, 0)</f>
        <v>72.103899999999996</v>
      </c>
      <c r="E778" s="4">
        <f>352.983875846981 * CHOOSE(CONTROL!$C$9, $C$13, 100%, $E$13) + CHOOSE(CONTROL!$C$28, 0, 0)</f>
        <v>352.98387584698099</v>
      </c>
    </row>
    <row r="779" spans="1:5" ht="15">
      <c r="A779" s="13">
        <v>65227</v>
      </c>
      <c r="B779" s="4">
        <f>50.9236 * CHOOSE(CONTROL!$C$9, $C$13, 100%, $E$13) + CHOOSE(CONTROL!$C$28, 0.013, 0)</f>
        <v>50.936599999999999</v>
      </c>
      <c r="C779" s="4">
        <f>50.5603 * CHOOSE(CONTROL!$C$9, $C$13, 100%, $E$13) + CHOOSE(CONTROL!$C$28, 0.013, 0)</f>
        <v>50.573299999999996</v>
      </c>
      <c r="D779" s="4">
        <f>73.2631 * CHOOSE(CONTROL!$C$9, $C$13, 100%, $E$13) + CHOOSE(CONTROL!$C$28, 0, 0)</f>
        <v>73.263099999999994</v>
      </c>
      <c r="E779" s="4">
        <f>352.871603621839 * CHOOSE(CONTROL!$C$9, $C$13, 100%, $E$13) + CHOOSE(CONTROL!$C$28, 0, 0)</f>
        <v>352.87160362183897</v>
      </c>
    </row>
    <row r="780" spans="1:5" ht="15">
      <c r="A780" s="13">
        <v>65258</v>
      </c>
      <c r="B780" s="4">
        <f>52.1243 * CHOOSE(CONTROL!$C$9, $C$13, 100%, $E$13) + CHOOSE(CONTROL!$C$28, 0.013, 0)</f>
        <v>52.137299999999996</v>
      </c>
      <c r="C780" s="4">
        <f>51.761 * CHOOSE(CONTROL!$C$9, $C$13, 100%, $E$13) + CHOOSE(CONTROL!$C$28, 0.013, 0)</f>
        <v>51.774000000000001</v>
      </c>
      <c r="D780" s="4">
        <f>72.4976 * CHOOSE(CONTROL!$C$9, $C$13, 100%, $E$13) + CHOOSE(CONTROL!$C$28, 0, 0)</f>
        <v>72.497600000000006</v>
      </c>
      <c r="E780" s="4">
        <f>361.320088563787 * CHOOSE(CONTROL!$C$9, $C$13, 100%, $E$13) + CHOOSE(CONTROL!$C$28, 0, 0)</f>
        <v>361.32008856378701</v>
      </c>
    </row>
    <row r="781" spans="1:5" ht="15">
      <c r="A781" s="13">
        <v>65288</v>
      </c>
      <c r="B781" s="4">
        <f>50.0779 * CHOOSE(CONTROL!$C$9, $C$13, 100%, $E$13) + CHOOSE(CONTROL!$C$28, 0.013, 0)</f>
        <v>50.090899999999998</v>
      </c>
      <c r="C781" s="4">
        <f>49.7146 * CHOOSE(CONTROL!$C$9, $C$13, 100%, $E$13) + CHOOSE(CONTROL!$C$28, 0.013, 0)</f>
        <v>49.727599999999995</v>
      </c>
      <c r="D781" s="4">
        <f>72.1359 * CHOOSE(CONTROL!$C$9, $C$13, 100%, $E$13) + CHOOSE(CONTROL!$C$28, 0, 0)</f>
        <v>72.135900000000007</v>
      </c>
      <c r="E781" s="4">
        <f>346.921175689304 * CHOOSE(CONTROL!$C$9, $C$13, 100%, $E$13) + CHOOSE(CONTROL!$C$28, 0, 0)</f>
        <v>346.92117568930399</v>
      </c>
    </row>
    <row r="782" spans="1:5" ht="15">
      <c r="A782" s="13">
        <v>65319</v>
      </c>
      <c r="B782" s="4">
        <f>48.4397 * CHOOSE(CONTROL!$C$9, $C$13, 100%, $E$13) + CHOOSE(CONTROL!$C$28, 0.0003, 0)</f>
        <v>48.440000000000005</v>
      </c>
      <c r="C782" s="4">
        <f>48.0764 * CHOOSE(CONTROL!$C$9, $C$13, 100%, $E$13) + CHOOSE(CONTROL!$C$28, 0.0003, 0)</f>
        <v>48.076700000000002</v>
      </c>
      <c r="D782" s="4">
        <f>71.1674 * CHOOSE(CONTROL!$C$9, $C$13, 100%, $E$13) + CHOOSE(CONTROL!$C$28, 0, 0)</f>
        <v>71.167400000000001</v>
      </c>
      <c r="E782" s="4">
        <f>335.394560574707 * CHOOSE(CONTROL!$C$9, $C$13, 100%, $E$13) + CHOOSE(CONTROL!$C$28, 0, 0)</f>
        <v>335.39456057470699</v>
      </c>
    </row>
    <row r="783" spans="1:5" ht="15">
      <c r="A783" s="13">
        <v>65349</v>
      </c>
      <c r="B783" s="4">
        <f>47.3846 * CHOOSE(CONTROL!$C$9, $C$13, 100%, $E$13) + CHOOSE(CONTROL!$C$28, 0.0003, 0)</f>
        <v>47.384900000000002</v>
      </c>
      <c r="C783" s="4">
        <f>47.0213 * CHOOSE(CONTROL!$C$9, $C$13, 100%, $E$13) + CHOOSE(CONTROL!$C$28, 0.0003, 0)</f>
        <v>47.021599999999999</v>
      </c>
      <c r="D783" s="4">
        <f>70.8345 * CHOOSE(CONTROL!$C$9, $C$13, 100%, $E$13) + CHOOSE(CONTROL!$C$28, 0, 0)</f>
        <v>70.834500000000006</v>
      </c>
      <c r="E783" s="4">
        <f>327.970559687181 * CHOOSE(CONTROL!$C$9, $C$13, 100%, $E$13) + CHOOSE(CONTROL!$C$28, 0, 0)</f>
        <v>327.97055968718098</v>
      </c>
    </row>
    <row r="784" spans="1:5" ht="15">
      <c r="A784" s="13">
        <v>65380</v>
      </c>
      <c r="B784" s="4">
        <f>46.6546 * CHOOSE(CONTROL!$C$9, $C$13, 100%, $E$13) + CHOOSE(CONTROL!$C$28, 0.0003, 0)</f>
        <v>46.654900000000005</v>
      </c>
      <c r="C784" s="4">
        <f>46.2913 * CHOOSE(CONTROL!$C$9, $C$13, 100%, $E$13) + CHOOSE(CONTROL!$C$28, 0.0003, 0)</f>
        <v>46.291600000000003</v>
      </c>
      <c r="D784" s="4">
        <f>68.3833 * CHOOSE(CONTROL!$C$9, $C$13, 100%, $E$13) + CHOOSE(CONTROL!$C$28, 0, 0)</f>
        <v>68.383300000000006</v>
      </c>
      <c r="E784" s="4">
        <f>322.834105386927 * CHOOSE(CONTROL!$C$9, $C$13, 100%, $E$13) + CHOOSE(CONTROL!$C$28, 0, 0)</f>
        <v>322.83410538692698</v>
      </c>
    </row>
    <row r="785" spans="1:5" ht="15">
      <c r="A785" s="13">
        <v>65411</v>
      </c>
      <c r="B785" s="4">
        <f>44.6574 * CHOOSE(CONTROL!$C$9, $C$13, 100%, $E$13) + CHOOSE(CONTROL!$C$28, 0.0003, 0)</f>
        <v>44.657700000000006</v>
      </c>
      <c r="C785" s="4">
        <f>44.2941 * CHOOSE(CONTROL!$C$9, $C$13, 100%, $E$13) + CHOOSE(CONTROL!$C$28, 0.0003, 0)</f>
        <v>44.294400000000003</v>
      </c>
      <c r="D785" s="4">
        <f>65.6831 * CHOOSE(CONTROL!$C$9, $C$13, 100%, $E$13) + CHOOSE(CONTROL!$C$28, 0, 0)</f>
        <v>65.683099999999996</v>
      </c>
      <c r="E785" s="4">
        <f>309.386753090191 * CHOOSE(CONTROL!$C$9, $C$13, 100%, $E$13) + CHOOSE(CONTROL!$C$28, 0, 0)</f>
        <v>309.38675309019101</v>
      </c>
    </row>
    <row r="786" spans="1:5" ht="15">
      <c r="A786" s="13">
        <v>65439</v>
      </c>
      <c r="B786" s="4">
        <f>45.6994 * CHOOSE(CONTROL!$C$9, $C$13, 100%, $E$13) + CHOOSE(CONTROL!$C$28, 0.0003, 0)</f>
        <v>45.6997</v>
      </c>
      <c r="C786" s="4">
        <f>45.3361 * CHOOSE(CONTROL!$C$9, $C$13, 100%, $E$13) + CHOOSE(CONTROL!$C$28, 0.0003, 0)</f>
        <v>45.336400000000005</v>
      </c>
      <c r="D786" s="4">
        <f>67.936 * CHOOSE(CONTROL!$C$9, $C$13, 100%, $E$13) + CHOOSE(CONTROL!$C$28, 0, 0)</f>
        <v>67.936000000000007</v>
      </c>
      <c r="E786" s="4">
        <f>316.732813873728 * CHOOSE(CONTROL!$C$9, $C$13, 100%, $E$13) + CHOOSE(CONTROL!$C$28, 0, 0)</f>
        <v>316.73281387372799</v>
      </c>
    </row>
    <row r="787" spans="1:5" ht="15">
      <c r="A787" s="13">
        <v>65470</v>
      </c>
      <c r="B787" s="4">
        <f>48.4356 * CHOOSE(CONTROL!$C$9, $C$13, 100%, $E$13) + CHOOSE(CONTROL!$C$28, 0.0003, 0)</f>
        <v>48.435900000000004</v>
      </c>
      <c r="C787" s="4">
        <f>48.0724 * CHOOSE(CONTROL!$C$9, $C$13, 100%, $E$13) + CHOOSE(CONTROL!$C$28, 0.0003, 0)</f>
        <v>48.072700000000005</v>
      </c>
      <c r="D787" s="4">
        <f>71.4626 * CHOOSE(CONTROL!$C$9, $C$13, 100%, $E$13) + CHOOSE(CONTROL!$C$28, 0, 0)</f>
        <v>71.462599999999995</v>
      </c>
      <c r="E787" s="4">
        <f>336.023959884676 * CHOOSE(CONTROL!$C$9, $C$13, 100%, $E$13) + CHOOSE(CONTROL!$C$28, 0, 0)</f>
        <v>336.023959884676</v>
      </c>
    </row>
    <row r="788" spans="1:5" ht="15">
      <c r="A788" s="13">
        <v>65500</v>
      </c>
      <c r="B788" s="4">
        <f>50.3798 * CHOOSE(CONTROL!$C$9, $C$13, 100%, $E$13) + CHOOSE(CONTROL!$C$28, 0.0003, 0)</f>
        <v>50.380100000000006</v>
      </c>
      <c r="C788" s="4">
        <f>50.0165 * CHOOSE(CONTROL!$C$9, $C$13, 100%, $E$13) + CHOOSE(CONTROL!$C$28, 0.0003, 0)</f>
        <v>50.016800000000003</v>
      </c>
      <c r="D788" s="4">
        <f>73.4941 * CHOOSE(CONTROL!$C$9, $C$13, 100%, $E$13) + CHOOSE(CONTROL!$C$28, 0, 0)</f>
        <v>73.494100000000003</v>
      </c>
      <c r="E788" s="4">
        <f>349.730576213777 * CHOOSE(CONTROL!$C$9, $C$13, 100%, $E$13) + CHOOSE(CONTROL!$C$28, 0, 0)</f>
        <v>349.730576213777</v>
      </c>
    </row>
    <row r="789" spans="1:5" ht="15">
      <c r="A789" s="13">
        <v>65531</v>
      </c>
      <c r="B789" s="4">
        <f>51.5676 * CHOOSE(CONTROL!$C$9, $C$13, 100%, $E$13) + CHOOSE(CONTROL!$C$28, 0.013, 0)</f>
        <v>51.580599999999997</v>
      </c>
      <c r="C789" s="4">
        <f>51.2044 * CHOOSE(CONTROL!$C$9, $C$13, 100%, $E$13) + CHOOSE(CONTROL!$C$28, 0.013, 0)</f>
        <v>51.217399999999998</v>
      </c>
      <c r="D789" s="4">
        <f>72.6914 * CHOOSE(CONTROL!$C$9, $C$13, 100%, $E$13) + CHOOSE(CONTROL!$C$28, 0, 0)</f>
        <v>72.691400000000002</v>
      </c>
      <c r="E789" s="4">
        <f>358.104990289112 * CHOOSE(CONTROL!$C$9, $C$13, 100%, $E$13) + CHOOSE(CONTROL!$C$28, 0, 0)</f>
        <v>358.10499028911198</v>
      </c>
    </row>
    <row r="790" spans="1:5" ht="15">
      <c r="A790" s="13">
        <v>65561</v>
      </c>
      <c r="B790" s="4">
        <f>51.7284 * CHOOSE(CONTROL!$C$9, $C$13, 100%, $E$13) + CHOOSE(CONTROL!$C$28, 0.013, 0)</f>
        <v>51.741399999999999</v>
      </c>
      <c r="C790" s="4">
        <f>51.3651 * CHOOSE(CONTROL!$C$9, $C$13, 100%, $E$13) + CHOOSE(CONTROL!$C$28, 0.013, 0)</f>
        <v>51.378099999999996</v>
      </c>
      <c r="D790" s="4">
        <f>73.3451 * CHOOSE(CONTROL!$C$9, $C$13, 100%, $E$13) + CHOOSE(CONTROL!$C$28, 0, 0)</f>
        <v>73.345100000000002</v>
      </c>
      <c r="E790" s="4">
        <f>359.238083268038 * CHOOSE(CONTROL!$C$9, $C$13, 100%, $E$13) + CHOOSE(CONTROL!$C$28, 0, 0)</f>
        <v>359.238083268038</v>
      </c>
    </row>
    <row r="791" spans="1:5" ht="15">
      <c r="A791" s="13">
        <v>65592</v>
      </c>
      <c r="B791" s="4">
        <f>51.7122 * CHOOSE(CONTROL!$C$9, $C$13, 100%, $E$13) + CHOOSE(CONTROL!$C$28, 0.013, 0)</f>
        <v>51.725200000000001</v>
      </c>
      <c r="C791" s="4">
        <f>51.3489 * CHOOSE(CONTROL!$C$9, $C$13, 100%, $E$13) + CHOOSE(CONTROL!$C$28, 0.013, 0)</f>
        <v>51.361899999999999</v>
      </c>
      <c r="D791" s="4">
        <f>74.5248 * CHOOSE(CONTROL!$C$9, $C$13, 100%, $E$13) + CHOOSE(CONTROL!$C$28, 0, 0)</f>
        <v>74.524799999999999</v>
      </c>
      <c r="E791" s="4">
        <f>359.123821791171 * CHOOSE(CONTROL!$C$9, $C$13, 100%, $E$13) + CHOOSE(CONTROL!$C$28, 0, 0)</f>
        <v>359.123821791171</v>
      </c>
    </row>
    <row r="792" spans="1:5" ht="15">
      <c r="A792" s="13">
        <v>65623</v>
      </c>
      <c r="B792" s="4">
        <f>52.9317 * CHOOSE(CONTROL!$C$9, $C$13, 100%, $E$13) + CHOOSE(CONTROL!$C$28, 0.013, 0)</f>
        <v>52.944699999999997</v>
      </c>
      <c r="C792" s="4">
        <f>52.5685 * CHOOSE(CONTROL!$C$9, $C$13, 100%, $E$13) + CHOOSE(CONTROL!$C$28, 0.013, 0)</f>
        <v>52.581499999999998</v>
      </c>
      <c r="D792" s="4">
        <f>73.7457 * CHOOSE(CONTROL!$C$9, $C$13, 100%, $E$13) + CHOOSE(CONTROL!$C$28, 0, 0)</f>
        <v>73.745699999999999</v>
      </c>
      <c r="E792" s="4">
        <f>367.72199792537 * CHOOSE(CONTROL!$C$9, $C$13, 100%, $E$13) + CHOOSE(CONTROL!$C$28, 0, 0)</f>
        <v>367.72199792536998</v>
      </c>
    </row>
    <row r="793" spans="1:5" ht="15">
      <c r="A793" s="13">
        <v>65653</v>
      </c>
      <c r="B793" s="4">
        <f>50.8532 * CHOOSE(CONTROL!$C$9, $C$13, 100%, $E$13) + CHOOSE(CONTROL!$C$28, 0.013, 0)</f>
        <v>50.866199999999999</v>
      </c>
      <c r="C793" s="4">
        <f>50.4899 * CHOOSE(CONTROL!$C$9, $C$13, 100%, $E$13) + CHOOSE(CONTROL!$C$28, 0.013, 0)</f>
        <v>50.502899999999997</v>
      </c>
      <c r="D793" s="4">
        <f>73.3777 * CHOOSE(CONTROL!$C$9, $C$13, 100%, $E$13) + CHOOSE(CONTROL!$C$28, 0, 0)</f>
        <v>73.377700000000004</v>
      </c>
      <c r="E793" s="4">
        <f>353.067963517251 * CHOOSE(CONTROL!$C$9, $C$13, 100%, $E$13) + CHOOSE(CONTROL!$C$28, 0, 0)</f>
        <v>353.06796351725097</v>
      </c>
    </row>
    <row r="794" spans="1:5" ht="15">
      <c r="A794" s="13">
        <v>65684</v>
      </c>
      <c r="B794" s="4">
        <f>49.1893 * CHOOSE(CONTROL!$C$9, $C$13, 100%, $E$13) + CHOOSE(CONTROL!$C$28, 0.0003, 0)</f>
        <v>49.189600000000006</v>
      </c>
      <c r="C794" s="4">
        <f>48.826 * CHOOSE(CONTROL!$C$9, $C$13, 100%, $E$13) + CHOOSE(CONTROL!$C$28, 0.0003, 0)</f>
        <v>48.826300000000003</v>
      </c>
      <c r="D794" s="4">
        <f>72.3921 * CHOOSE(CONTROL!$C$9, $C$13, 100%, $E$13) + CHOOSE(CONTROL!$C$28, 0, 0)</f>
        <v>72.392099999999999</v>
      </c>
      <c r="E794" s="4">
        <f>341.337118558965 * CHOOSE(CONTROL!$C$9, $C$13, 100%, $E$13) + CHOOSE(CONTROL!$C$28, 0, 0)</f>
        <v>341.33711855896502</v>
      </c>
    </row>
    <row r="795" spans="1:5" ht="15">
      <c r="A795" s="13">
        <v>65714</v>
      </c>
      <c r="B795" s="4">
        <f>48.1176 * CHOOSE(CONTROL!$C$9, $C$13, 100%, $E$13) + CHOOSE(CONTROL!$C$28, 0.0003, 0)</f>
        <v>48.117900000000006</v>
      </c>
      <c r="C795" s="4">
        <f>47.7543 * CHOOSE(CONTROL!$C$9, $C$13, 100%, $E$13) + CHOOSE(CONTROL!$C$28, 0.0003, 0)</f>
        <v>47.754600000000003</v>
      </c>
      <c r="D795" s="4">
        <f>72.0533 * CHOOSE(CONTROL!$C$9, $C$13, 100%, $E$13) + CHOOSE(CONTROL!$C$28, 0, 0)</f>
        <v>72.053299999999993</v>
      </c>
      <c r="E795" s="4">
        <f>333.781578401172 * CHOOSE(CONTROL!$C$9, $C$13, 100%, $E$13) + CHOOSE(CONTROL!$C$28, 0, 0)</f>
        <v>333.781578401172</v>
      </c>
    </row>
    <row r="796" spans="1:5" ht="15">
      <c r="A796" s="13">
        <v>65745</v>
      </c>
      <c r="B796" s="4">
        <f>47.3761 * CHOOSE(CONTROL!$C$9, $C$13, 100%, $E$13) + CHOOSE(CONTROL!$C$28, 0.0003, 0)</f>
        <v>47.376400000000004</v>
      </c>
      <c r="C796" s="4">
        <f>47.0128 * CHOOSE(CONTROL!$C$9, $C$13, 100%, $E$13) + CHOOSE(CONTROL!$C$28, 0.0003, 0)</f>
        <v>47.013100000000001</v>
      </c>
      <c r="D796" s="4">
        <f>69.5588 * CHOOSE(CONTROL!$C$9, $C$13, 100%, $E$13) + CHOOSE(CONTROL!$C$28, 0, 0)</f>
        <v>69.558800000000005</v>
      </c>
      <c r="E796" s="4">
        <f>328.554115834533 * CHOOSE(CONTROL!$C$9, $C$13, 100%, $E$13) + CHOOSE(CONTROL!$C$28, 0, 0)</f>
        <v>328.55411583453298</v>
      </c>
    </row>
    <row r="797" spans="1:5" ht="15">
      <c r="A797" s="13">
        <v>65776</v>
      </c>
      <c r="B797" s="4">
        <f>45.3474 * CHOOSE(CONTROL!$C$9, $C$13, 100%, $E$13) + CHOOSE(CONTROL!$C$28, 0.0003, 0)</f>
        <v>45.347700000000003</v>
      </c>
      <c r="C797" s="4">
        <f>44.9842 * CHOOSE(CONTROL!$C$9, $C$13, 100%, $E$13) + CHOOSE(CONTROL!$C$28, 0.0003, 0)</f>
        <v>44.984500000000004</v>
      </c>
      <c r="D797" s="4">
        <f>66.8109 * CHOOSE(CONTROL!$C$9, $C$13, 100%, $E$13) + CHOOSE(CONTROL!$C$28, 0, 0)</f>
        <v>66.810900000000004</v>
      </c>
      <c r="E797" s="4">
        <f>314.868501859906 * CHOOSE(CONTROL!$C$9, $C$13, 100%, $E$13) + CHOOSE(CONTROL!$C$28, 0, 0)</f>
        <v>314.86850185990602</v>
      </c>
    </row>
    <row r="798" spans="1:5" ht="15">
      <c r="A798" s="13">
        <v>65805</v>
      </c>
      <c r="B798" s="4">
        <f>46.4058 * CHOOSE(CONTROL!$C$9, $C$13, 100%, $E$13) + CHOOSE(CONTROL!$C$28, 0.0003, 0)</f>
        <v>46.406100000000002</v>
      </c>
      <c r="C798" s="4">
        <f>46.0425 * CHOOSE(CONTROL!$C$9, $C$13, 100%, $E$13) + CHOOSE(CONTROL!$C$28, 0.0003, 0)</f>
        <v>46.0428</v>
      </c>
      <c r="D798" s="4">
        <f>69.1036 * CHOOSE(CONTROL!$C$9, $C$13, 100%, $E$13) + CHOOSE(CONTROL!$C$28, 0, 0)</f>
        <v>69.1036</v>
      </c>
      <c r="E798" s="4">
        <f>322.344720962311 * CHOOSE(CONTROL!$C$9, $C$13, 100%, $E$13) + CHOOSE(CONTROL!$C$28, 0, 0)</f>
        <v>322.34472096231099</v>
      </c>
    </row>
    <row r="799" spans="1:5" ht="15">
      <c r="A799" s="13">
        <v>65836</v>
      </c>
      <c r="B799" s="4">
        <f>49.1851 * CHOOSE(CONTROL!$C$9, $C$13, 100%, $E$13) + CHOOSE(CONTROL!$C$28, 0.0003, 0)</f>
        <v>49.185400000000001</v>
      </c>
      <c r="C799" s="4">
        <f>48.8218 * CHOOSE(CONTROL!$C$9, $C$13, 100%, $E$13) + CHOOSE(CONTROL!$C$28, 0.0003, 0)</f>
        <v>48.822100000000006</v>
      </c>
      <c r="D799" s="4">
        <f>72.6925 * CHOOSE(CONTROL!$C$9, $C$13, 100%, $E$13) + CHOOSE(CONTROL!$C$28, 0, 0)</f>
        <v>72.692499999999995</v>
      </c>
      <c r="E799" s="4">
        <f>341.977669635641 * CHOOSE(CONTROL!$C$9, $C$13, 100%, $E$13) + CHOOSE(CONTROL!$C$28, 0, 0)</f>
        <v>341.97766963564101</v>
      </c>
    </row>
    <row r="800" spans="1:5" ht="15">
      <c r="A800" s="13">
        <v>65866</v>
      </c>
      <c r="B800" s="4">
        <f>51.1599 * CHOOSE(CONTROL!$C$9, $C$13, 100%, $E$13) + CHOOSE(CONTROL!$C$28, 0.0003, 0)</f>
        <v>51.160200000000003</v>
      </c>
      <c r="C800" s="4">
        <f>50.7966 * CHOOSE(CONTROL!$C$9, $C$13, 100%, $E$13) + CHOOSE(CONTROL!$C$28, 0.0003, 0)</f>
        <v>50.796900000000001</v>
      </c>
      <c r="D800" s="4">
        <f>74.7599 * CHOOSE(CONTROL!$C$9, $C$13, 100%, $E$13) + CHOOSE(CONTROL!$C$28, 0, 0)</f>
        <v>74.759900000000002</v>
      </c>
      <c r="E800" s="4">
        <f>355.927141311484 * CHOOSE(CONTROL!$C$9, $C$13, 100%, $E$13) + CHOOSE(CONTROL!$C$28, 0, 0)</f>
        <v>355.92714131148398</v>
      </c>
    </row>
    <row r="801" spans="1:5" ht="15">
      <c r="A801" s="13">
        <v>65897</v>
      </c>
      <c r="B801" s="4">
        <f>52.3664 * CHOOSE(CONTROL!$C$9, $C$13, 100%, $E$13) + CHOOSE(CONTROL!$C$28, 0.013, 0)</f>
        <v>52.379399999999997</v>
      </c>
      <c r="C801" s="4">
        <f>52.0031 * CHOOSE(CONTROL!$C$9, $C$13, 100%, $E$13) + CHOOSE(CONTROL!$C$28, 0.013, 0)</f>
        <v>52.016100000000002</v>
      </c>
      <c r="D801" s="4">
        <f>73.943 * CHOOSE(CONTROL!$C$9, $C$13, 100%, $E$13) + CHOOSE(CONTROL!$C$28, 0, 0)</f>
        <v>73.942999999999998</v>
      </c>
      <c r="E801" s="4">
        <f>364.449934183248 * CHOOSE(CONTROL!$C$9, $C$13, 100%, $E$13) + CHOOSE(CONTROL!$C$28, 0, 0)</f>
        <v>364.44993418324799</v>
      </c>
    </row>
    <row r="802" spans="1:5" ht="15">
      <c r="A802" s="13">
        <v>65927</v>
      </c>
      <c r="B802" s="4">
        <f>52.5296 * CHOOSE(CONTROL!$C$9, $C$13, 100%, $E$13) + CHOOSE(CONTROL!$C$28, 0.013, 0)</f>
        <v>52.5426</v>
      </c>
      <c r="C802" s="4">
        <f>52.1664 * CHOOSE(CONTROL!$C$9, $C$13, 100%, $E$13) + CHOOSE(CONTROL!$C$28, 0.013, 0)</f>
        <v>52.179400000000001</v>
      </c>
      <c r="D802" s="4">
        <f>74.6083 * CHOOSE(CONTROL!$C$9, $C$13, 100%, $E$13) + CHOOSE(CONTROL!$C$28, 0, 0)</f>
        <v>74.6083</v>
      </c>
      <c r="E802" s="4">
        <f>365.603103429115 * CHOOSE(CONTROL!$C$9, $C$13, 100%, $E$13) + CHOOSE(CONTROL!$C$28, 0, 0)</f>
        <v>365.60310342911498</v>
      </c>
    </row>
    <row r="803" spans="1:5" ht="15">
      <c r="A803" s="13">
        <v>65958</v>
      </c>
      <c r="B803" s="4">
        <f>52.5132 * CHOOSE(CONTROL!$C$9, $C$13, 100%, $E$13) + CHOOSE(CONTROL!$C$28, 0.013, 0)</f>
        <v>52.526199999999996</v>
      </c>
      <c r="C803" s="4">
        <f>52.1499 * CHOOSE(CONTROL!$C$9, $C$13, 100%, $E$13) + CHOOSE(CONTROL!$C$28, 0.013, 0)</f>
        <v>52.1629</v>
      </c>
      <c r="D803" s="4">
        <f>75.8088 * CHOOSE(CONTROL!$C$9, $C$13, 100%, $E$13) + CHOOSE(CONTROL!$C$28, 0, 0)</f>
        <v>75.808800000000005</v>
      </c>
      <c r="E803" s="4">
        <f>365.486817454742 * CHOOSE(CONTROL!$C$9, $C$13, 100%, $E$13) + CHOOSE(CONTROL!$C$28, 0, 0)</f>
        <v>365.48681745474198</v>
      </c>
    </row>
    <row r="804" spans="1:5" ht="15">
      <c r="A804" s="13">
        <v>65989</v>
      </c>
      <c r="B804" s="4">
        <f>53.7519 * CHOOSE(CONTROL!$C$9, $C$13, 100%, $E$13) + CHOOSE(CONTROL!$C$28, 0.013, 0)</f>
        <v>53.764899999999997</v>
      </c>
      <c r="C804" s="4">
        <f>53.3886 * CHOOSE(CONTROL!$C$9, $C$13, 100%, $E$13) + CHOOSE(CONTROL!$C$28, 0.013, 0)</f>
        <v>53.401599999999995</v>
      </c>
      <c r="D804" s="4">
        <f>75.016 * CHOOSE(CONTROL!$C$9, $C$13, 100%, $E$13) + CHOOSE(CONTROL!$C$28, 0, 0)</f>
        <v>75.016000000000005</v>
      </c>
      <c r="E804" s="4">
        <f>374.23733702632 * CHOOSE(CONTROL!$C$9, $C$13, 100%, $E$13) + CHOOSE(CONTROL!$C$28, 0, 0)</f>
        <v>374.23733702632001</v>
      </c>
    </row>
    <row r="805" spans="1:5" ht="15">
      <c r="A805" s="13">
        <v>66019</v>
      </c>
      <c r="B805" s="4">
        <f>51.6407 * CHOOSE(CONTROL!$C$9, $C$13, 100%, $E$13) + CHOOSE(CONTROL!$C$28, 0.013, 0)</f>
        <v>51.653700000000001</v>
      </c>
      <c r="C805" s="4">
        <f>51.2774 * CHOOSE(CONTROL!$C$9, $C$13, 100%, $E$13) + CHOOSE(CONTROL!$C$28, 0.013, 0)</f>
        <v>51.290399999999998</v>
      </c>
      <c r="D805" s="4">
        <f>74.6414 * CHOOSE(CONTROL!$C$9, $C$13, 100%, $E$13) + CHOOSE(CONTROL!$C$28, 0, 0)</f>
        <v>74.641400000000004</v>
      </c>
      <c r="E805" s="4">
        <f>359.323660812966 * CHOOSE(CONTROL!$C$9, $C$13, 100%, $E$13) + CHOOSE(CONTROL!$C$28, 0, 0)</f>
        <v>359.32366081296601</v>
      </c>
    </row>
    <row r="806" spans="1:5" ht="15">
      <c r="A806" s="13">
        <v>66050</v>
      </c>
      <c r="B806" s="4">
        <f>49.9506 * CHOOSE(CONTROL!$C$9, $C$13, 100%, $E$13) + CHOOSE(CONTROL!$C$28, 0.0003, 0)</f>
        <v>49.950900000000004</v>
      </c>
      <c r="C806" s="4">
        <f>49.5873 * CHOOSE(CONTROL!$C$9, $C$13, 100%, $E$13) + CHOOSE(CONTROL!$C$28, 0.0003, 0)</f>
        <v>49.587600000000002</v>
      </c>
      <c r="D806" s="4">
        <f>73.6384 * CHOOSE(CONTROL!$C$9, $C$13, 100%, $E$13) + CHOOSE(CONTROL!$C$28, 0, 0)</f>
        <v>73.638400000000004</v>
      </c>
      <c r="E806" s="4">
        <f>347.384967443992 * CHOOSE(CONTROL!$C$9, $C$13, 100%, $E$13) + CHOOSE(CONTROL!$C$28, 0, 0)</f>
        <v>347.38496744399202</v>
      </c>
    </row>
    <row r="807" spans="1:5" ht="15">
      <c r="A807" s="13">
        <v>66080</v>
      </c>
      <c r="B807" s="4">
        <f>48.8621 * CHOOSE(CONTROL!$C$9, $C$13, 100%, $E$13) + CHOOSE(CONTROL!$C$28, 0.0003, 0)</f>
        <v>48.862400000000001</v>
      </c>
      <c r="C807" s="4">
        <f>48.4988 * CHOOSE(CONTROL!$C$9, $C$13, 100%, $E$13) + CHOOSE(CONTROL!$C$28, 0.0003, 0)</f>
        <v>48.499100000000006</v>
      </c>
      <c r="D807" s="4">
        <f>73.2936 * CHOOSE(CONTROL!$C$9, $C$13, 100%, $E$13) + CHOOSE(CONTROL!$C$28, 0, 0)</f>
        <v>73.293599999999998</v>
      </c>
      <c r="E807" s="4">
        <f>339.695557388568 * CHOOSE(CONTROL!$C$9, $C$13, 100%, $E$13) + CHOOSE(CONTROL!$C$28, 0, 0)</f>
        <v>339.69555738856798</v>
      </c>
    </row>
    <row r="808" spans="1:5" ht="15">
      <c r="A808" s="13">
        <v>66111</v>
      </c>
      <c r="B808" s="4">
        <f>48.1089 * CHOOSE(CONTROL!$C$9, $C$13, 100%, $E$13) + CHOOSE(CONTROL!$C$28, 0.0003, 0)</f>
        <v>48.109200000000001</v>
      </c>
      <c r="C808" s="4">
        <f>47.7456 * CHOOSE(CONTROL!$C$9, $C$13, 100%, $E$13) + CHOOSE(CONTROL!$C$28, 0.0003, 0)</f>
        <v>47.745900000000006</v>
      </c>
      <c r="D808" s="4">
        <f>70.7551 * CHOOSE(CONTROL!$C$9, $C$13, 100%, $E$13) + CHOOSE(CONTROL!$C$28, 0, 0)</f>
        <v>70.755099999999999</v>
      </c>
      <c r="E808" s="4">
        <f>334.375474060998 * CHOOSE(CONTROL!$C$9, $C$13, 100%, $E$13) + CHOOSE(CONTROL!$C$28, 0, 0)</f>
        <v>334.37547406099799</v>
      </c>
    </row>
    <row r="809" spans="1:5" ht="15">
      <c r="A809" s="13">
        <v>66142</v>
      </c>
      <c r="B809" s="4">
        <f>46.0484 * CHOOSE(CONTROL!$C$9, $C$13, 100%, $E$13) + CHOOSE(CONTROL!$C$28, 0.0003, 0)</f>
        <v>46.048700000000004</v>
      </c>
      <c r="C809" s="4">
        <f>45.6851 * CHOOSE(CONTROL!$C$9, $C$13, 100%, $E$13) + CHOOSE(CONTROL!$C$28, 0.0003, 0)</f>
        <v>45.685400000000001</v>
      </c>
      <c r="D809" s="4">
        <f>67.9586 * CHOOSE(CONTROL!$C$9, $C$13, 100%, $E$13) + CHOOSE(CONTROL!$C$28, 0, 0)</f>
        <v>67.958600000000004</v>
      </c>
      <c r="E809" s="4">
        <f>320.447376861672 * CHOOSE(CONTROL!$C$9, $C$13, 100%, $E$13) + CHOOSE(CONTROL!$C$28, 0, 0)</f>
        <v>320.44737686167201</v>
      </c>
    </row>
    <row r="810" spans="1:5" ht="15">
      <c r="A810" s="13">
        <v>66170</v>
      </c>
      <c r="B810" s="4">
        <f>47.1234 * CHOOSE(CONTROL!$C$9, $C$13, 100%, $E$13) + CHOOSE(CONTROL!$C$28, 0.0003, 0)</f>
        <v>47.123699999999999</v>
      </c>
      <c r="C810" s="4">
        <f>46.7601 * CHOOSE(CONTROL!$C$9, $C$13, 100%, $E$13) + CHOOSE(CONTROL!$C$28, 0.0003, 0)</f>
        <v>46.760400000000004</v>
      </c>
      <c r="D810" s="4">
        <f>70.2918 * CHOOSE(CONTROL!$C$9, $C$13, 100%, $E$13) + CHOOSE(CONTROL!$C$28, 0, 0)</f>
        <v>70.291799999999995</v>
      </c>
      <c r="E810" s="4">
        <f>328.056060442461 * CHOOSE(CONTROL!$C$9, $C$13, 100%, $E$13) + CHOOSE(CONTROL!$C$28, 0, 0)</f>
        <v>328.05606044246099</v>
      </c>
    </row>
    <row r="811" spans="1:5" ht="15">
      <c r="A811" s="13">
        <v>66201</v>
      </c>
      <c r="B811" s="4">
        <f>49.9464 * CHOOSE(CONTROL!$C$9, $C$13, 100%, $E$13) + CHOOSE(CONTROL!$C$28, 0.0003, 0)</f>
        <v>49.9467</v>
      </c>
      <c r="C811" s="4">
        <f>49.5831 * CHOOSE(CONTROL!$C$9, $C$13, 100%, $E$13) + CHOOSE(CONTROL!$C$28, 0.0003, 0)</f>
        <v>49.583400000000005</v>
      </c>
      <c r="D811" s="4">
        <f>73.9442 * CHOOSE(CONTROL!$C$9, $C$13, 100%, $E$13) + CHOOSE(CONTROL!$C$28, 0, 0)</f>
        <v>73.944199999999995</v>
      </c>
      <c r="E811" s="4">
        <f>348.036867875614 * CHOOSE(CONTROL!$C$9, $C$13, 100%, $E$13) + CHOOSE(CONTROL!$C$28, 0, 0)</f>
        <v>348.03686787561401</v>
      </c>
    </row>
    <row r="812" spans="1:5" ht="15">
      <c r="A812" s="13">
        <v>66231</v>
      </c>
      <c r="B812" s="4">
        <f>51.9522 * CHOOSE(CONTROL!$C$9, $C$13, 100%, $E$13) + CHOOSE(CONTROL!$C$28, 0.0003, 0)</f>
        <v>51.952500000000001</v>
      </c>
      <c r="C812" s="4">
        <f>51.5889 * CHOOSE(CONTROL!$C$9, $C$13, 100%, $E$13) + CHOOSE(CONTROL!$C$28, 0.0003, 0)</f>
        <v>51.589200000000005</v>
      </c>
      <c r="D812" s="4">
        <f>76.0481 * CHOOSE(CONTROL!$C$9, $C$13, 100%, $E$13) + CHOOSE(CONTROL!$C$28, 0, 0)</f>
        <v>76.048100000000005</v>
      </c>
      <c r="E812" s="4">
        <f>362.23349783614 * CHOOSE(CONTROL!$C$9, $C$13, 100%, $E$13) + CHOOSE(CONTROL!$C$28, 0, 0)</f>
        <v>362.23349783613997</v>
      </c>
    </row>
    <row r="813" spans="1:5" ht="15">
      <c r="A813" s="13">
        <v>66262</v>
      </c>
      <c r="B813" s="4">
        <f>53.1777 * CHOOSE(CONTROL!$C$9, $C$13, 100%, $E$13) + CHOOSE(CONTROL!$C$28, 0.013, 0)</f>
        <v>53.1907</v>
      </c>
      <c r="C813" s="4">
        <f>52.8144 * CHOOSE(CONTROL!$C$9, $C$13, 100%, $E$13) + CHOOSE(CONTROL!$C$28, 0.013, 0)</f>
        <v>52.827399999999997</v>
      </c>
      <c r="D813" s="4">
        <f>75.2167 * CHOOSE(CONTROL!$C$9, $C$13, 100%, $E$13) + CHOOSE(CONTROL!$C$28, 0, 0)</f>
        <v>75.216700000000003</v>
      </c>
      <c r="E813" s="4">
        <f>370.907298496287 * CHOOSE(CONTROL!$C$9, $C$13, 100%, $E$13) + CHOOSE(CONTROL!$C$28, 0, 0)</f>
        <v>370.90729849628701</v>
      </c>
    </row>
    <row r="814" spans="1:5" ht="15">
      <c r="A814" s="13">
        <v>66292</v>
      </c>
      <c r="B814" s="4">
        <f>53.3435 * CHOOSE(CONTROL!$C$9, $C$13, 100%, $E$13) + CHOOSE(CONTROL!$C$28, 0.013, 0)</f>
        <v>53.356499999999997</v>
      </c>
      <c r="C814" s="4">
        <f>52.9802 * CHOOSE(CONTROL!$C$9, $C$13, 100%, $E$13) + CHOOSE(CONTROL!$C$28, 0.013, 0)</f>
        <v>52.993200000000002</v>
      </c>
      <c r="D814" s="4">
        <f>75.8938 * CHOOSE(CONTROL!$C$9, $C$13, 100%, $E$13) + CHOOSE(CONTROL!$C$28, 0, 0)</f>
        <v>75.893799999999999</v>
      </c>
      <c r="E814" s="4">
        <f>372.080899722618 * CHOOSE(CONTROL!$C$9, $C$13, 100%, $E$13) + CHOOSE(CONTROL!$C$28, 0, 0)</f>
        <v>372.08089972261803</v>
      </c>
    </row>
    <row r="815" spans="1:5" ht="15">
      <c r="A815" s="13">
        <v>66323</v>
      </c>
      <c r="B815" s="4">
        <f>53.3268 * CHOOSE(CONTROL!$C$9, $C$13, 100%, $E$13) + CHOOSE(CONTROL!$C$28, 0.013, 0)</f>
        <v>53.339799999999997</v>
      </c>
      <c r="C815" s="4">
        <f>52.9635 * CHOOSE(CONTROL!$C$9, $C$13, 100%, $E$13) + CHOOSE(CONTROL!$C$28, 0.013, 0)</f>
        <v>52.976500000000001</v>
      </c>
      <c r="D815" s="4">
        <f>77.1155 * CHOOSE(CONTROL!$C$9, $C$13, 100%, $E$13) + CHOOSE(CONTROL!$C$28, 0, 0)</f>
        <v>77.115499999999997</v>
      </c>
      <c r="E815" s="4">
        <f>371.962553380467 * CHOOSE(CONTROL!$C$9, $C$13, 100%, $E$13) + CHOOSE(CONTROL!$C$28, 0, 0)</f>
        <v>371.962553380467</v>
      </c>
    </row>
    <row r="816" spans="1:5" ht="15">
      <c r="A816" s="13">
        <v>66354</v>
      </c>
      <c r="B816" s="4">
        <f>54.585 * CHOOSE(CONTROL!$C$9, $C$13, 100%, $E$13) + CHOOSE(CONTROL!$C$28, 0.013, 0)</f>
        <v>54.597999999999999</v>
      </c>
      <c r="C816" s="4">
        <f>54.2217 * CHOOSE(CONTROL!$C$9, $C$13, 100%, $E$13) + CHOOSE(CONTROL!$C$28, 0.013, 0)</f>
        <v>54.234699999999997</v>
      </c>
      <c r="D816" s="4">
        <f>76.3087 * CHOOSE(CONTROL!$C$9, $C$13, 100%, $E$13) + CHOOSE(CONTROL!$C$28, 0, 0)</f>
        <v>76.308700000000002</v>
      </c>
      <c r="E816" s="4">
        <f>380.868115627327 * CHOOSE(CONTROL!$C$9, $C$13, 100%, $E$13) + CHOOSE(CONTROL!$C$28, 0, 0)</f>
        <v>380.86811562732697</v>
      </c>
    </row>
    <row r="817" spans="1:5" ht="15">
      <c r="A817" s="13">
        <v>66384</v>
      </c>
      <c r="B817" s="4">
        <f>52.4406 * CHOOSE(CONTROL!$C$9, $C$13, 100%, $E$13) + CHOOSE(CONTROL!$C$28, 0.013, 0)</f>
        <v>52.453600000000002</v>
      </c>
      <c r="C817" s="4">
        <f>52.0773 * CHOOSE(CONTROL!$C$9, $C$13, 100%, $E$13) + CHOOSE(CONTROL!$C$28, 0.013, 0)</f>
        <v>52.090299999999999</v>
      </c>
      <c r="D817" s="4">
        <f>75.9275 * CHOOSE(CONTROL!$C$9, $C$13, 100%, $E$13) + CHOOSE(CONTROL!$C$28, 0, 0)</f>
        <v>75.927499999999995</v>
      </c>
      <c r="E817" s="4">
        <f>365.690197246466 * CHOOSE(CONTROL!$C$9, $C$13, 100%, $E$13) + CHOOSE(CONTROL!$C$28, 0, 0)</f>
        <v>365.69019724646603</v>
      </c>
    </row>
    <row r="818" spans="1:5" ht="15">
      <c r="A818" s="13">
        <v>66415</v>
      </c>
      <c r="B818" s="4">
        <f>50.7239 * CHOOSE(CONTROL!$C$9, $C$13, 100%, $E$13) + CHOOSE(CONTROL!$C$28, 0.0003, 0)</f>
        <v>50.724200000000003</v>
      </c>
      <c r="C818" s="4">
        <f>50.3606 * CHOOSE(CONTROL!$C$9, $C$13, 100%, $E$13) + CHOOSE(CONTROL!$C$28, 0.0003, 0)</f>
        <v>50.360900000000001</v>
      </c>
      <c r="D818" s="4">
        <f>74.9068 * CHOOSE(CONTROL!$C$9, $C$13, 100%, $E$13) + CHOOSE(CONTROL!$C$28, 0, 0)</f>
        <v>74.906800000000004</v>
      </c>
      <c r="E818" s="4">
        <f>353.539972785634 * CHOOSE(CONTROL!$C$9, $C$13, 100%, $E$13) + CHOOSE(CONTROL!$C$28, 0, 0)</f>
        <v>353.53997278563401</v>
      </c>
    </row>
    <row r="819" spans="1:5" ht="15">
      <c r="A819" s="13">
        <v>66445</v>
      </c>
      <c r="B819" s="4">
        <f>49.6182 * CHOOSE(CONTROL!$C$9, $C$13, 100%, $E$13) + CHOOSE(CONTROL!$C$28, 0.0003, 0)</f>
        <v>49.618500000000004</v>
      </c>
      <c r="C819" s="4">
        <f>49.255 * CHOOSE(CONTROL!$C$9, $C$13, 100%, $E$13) + CHOOSE(CONTROL!$C$28, 0.0003, 0)</f>
        <v>49.255300000000005</v>
      </c>
      <c r="D819" s="4">
        <f>74.5559 * CHOOSE(CONTROL!$C$9, $C$13, 100%, $E$13) + CHOOSE(CONTROL!$C$28, 0, 0)</f>
        <v>74.555899999999994</v>
      </c>
      <c r="E819" s="4">
        <f>345.714320910902 * CHOOSE(CONTROL!$C$9, $C$13, 100%, $E$13) + CHOOSE(CONTROL!$C$28, 0, 0)</f>
        <v>345.71432091090202</v>
      </c>
    </row>
    <row r="820" spans="1:5" ht="15">
      <c r="A820" s="13">
        <v>66476</v>
      </c>
      <c r="B820" s="4">
        <f>48.8533 * CHOOSE(CONTROL!$C$9, $C$13, 100%, $E$13) + CHOOSE(CONTROL!$C$28, 0.0003, 0)</f>
        <v>48.8536</v>
      </c>
      <c r="C820" s="4">
        <f>48.49 * CHOOSE(CONTROL!$C$9, $C$13, 100%, $E$13) + CHOOSE(CONTROL!$C$28, 0.0003, 0)</f>
        <v>48.490300000000005</v>
      </c>
      <c r="D820" s="4">
        <f>71.9725 * CHOOSE(CONTROL!$C$9, $C$13, 100%, $E$13) + CHOOSE(CONTROL!$C$28, 0, 0)</f>
        <v>71.972499999999997</v>
      </c>
      <c r="E820" s="4">
        <f>340.299975757495 * CHOOSE(CONTROL!$C$9, $C$13, 100%, $E$13) + CHOOSE(CONTROL!$C$28, 0, 0)</f>
        <v>340.29997575749502</v>
      </c>
    </row>
    <row r="821" spans="1:5" ht="15">
      <c r="A821" s="13">
        <v>66507</v>
      </c>
      <c r="B821" s="4">
        <f>46.7603 * CHOOSE(CONTROL!$C$9, $C$13, 100%, $E$13) + CHOOSE(CONTROL!$C$28, 0.0003, 0)</f>
        <v>46.760600000000004</v>
      </c>
      <c r="C821" s="4">
        <f>46.397 * CHOOSE(CONTROL!$C$9, $C$13, 100%, $E$13) + CHOOSE(CONTROL!$C$28, 0.0003, 0)</f>
        <v>46.397300000000001</v>
      </c>
      <c r="D821" s="4">
        <f>69.1266 * CHOOSE(CONTROL!$C$9, $C$13, 100%, $E$13) + CHOOSE(CONTROL!$C$28, 0, 0)</f>
        <v>69.126599999999996</v>
      </c>
      <c r="E821" s="4">
        <f>326.12509898883 * CHOOSE(CONTROL!$C$9, $C$13, 100%, $E$13) + CHOOSE(CONTROL!$C$28, 0, 0)</f>
        <v>326.12509898883002</v>
      </c>
    </row>
    <row r="822" spans="1:5" ht="15">
      <c r="A822" s="13">
        <v>66535</v>
      </c>
      <c r="B822" s="4">
        <f>47.8522 * CHOOSE(CONTROL!$C$9, $C$13, 100%, $E$13) + CHOOSE(CONTROL!$C$28, 0.0003, 0)</f>
        <v>47.852500000000006</v>
      </c>
      <c r="C822" s="4">
        <f>47.4889 * CHOOSE(CONTROL!$C$9, $C$13, 100%, $E$13) + CHOOSE(CONTROL!$C$28, 0.0003, 0)</f>
        <v>47.489200000000004</v>
      </c>
      <c r="D822" s="4">
        <f>71.501 * CHOOSE(CONTROL!$C$9, $C$13, 100%, $E$13) + CHOOSE(CONTROL!$C$28, 0, 0)</f>
        <v>71.501000000000005</v>
      </c>
      <c r="E822" s="4">
        <f>333.868594068307 * CHOOSE(CONTROL!$C$9, $C$13, 100%, $E$13) + CHOOSE(CONTROL!$C$28, 0, 0)</f>
        <v>333.868594068307</v>
      </c>
    </row>
    <row r="823" spans="1:5" ht="15">
      <c r="A823" s="13">
        <v>66566</v>
      </c>
      <c r="B823" s="4">
        <f>50.7196 * CHOOSE(CONTROL!$C$9, $C$13, 100%, $E$13) + CHOOSE(CONTROL!$C$28, 0.0003, 0)</f>
        <v>50.719900000000003</v>
      </c>
      <c r="C823" s="4">
        <f>50.3564 * CHOOSE(CONTROL!$C$9, $C$13, 100%, $E$13) + CHOOSE(CONTROL!$C$28, 0.0003, 0)</f>
        <v>50.356700000000004</v>
      </c>
      <c r="D823" s="4">
        <f>75.2179 * CHOOSE(CONTROL!$C$9, $C$13, 100%, $E$13) + CHOOSE(CONTROL!$C$28, 0, 0)</f>
        <v>75.2179</v>
      </c>
      <c r="E823" s="4">
        <f>354.203423661332 * CHOOSE(CONTROL!$C$9, $C$13, 100%, $E$13) + CHOOSE(CONTROL!$C$28, 0, 0)</f>
        <v>354.20342366133201</v>
      </c>
    </row>
    <row r="824" spans="1:5" ht="15">
      <c r="A824" s="13">
        <v>66596</v>
      </c>
      <c r="B824" s="4">
        <f>52.757 * CHOOSE(CONTROL!$C$9, $C$13, 100%, $E$13) + CHOOSE(CONTROL!$C$28, 0.0003, 0)</f>
        <v>52.757300000000001</v>
      </c>
      <c r="C824" s="4">
        <f>52.3937 * CHOOSE(CONTROL!$C$9, $C$13, 100%, $E$13) + CHOOSE(CONTROL!$C$28, 0.0003, 0)</f>
        <v>52.394000000000005</v>
      </c>
      <c r="D824" s="4">
        <f>77.359 * CHOOSE(CONTROL!$C$9, $C$13, 100%, $E$13) + CHOOSE(CONTROL!$C$28, 0, 0)</f>
        <v>77.358999999999995</v>
      </c>
      <c r="E824" s="4">
        <f>368.651591084412 * CHOOSE(CONTROL!$C$9, $C$13, 100%, $E$13) + CHOOSE(CONTROL!$C$28, 0, 0)</f>
        <v>368.65159108441202</v>
      </c>
    </row>
    <row r="825" spans="1:5" ht="15">
      <c r="A825" s="13">
        <v>66627</v>
      </c>
      <c r="B825" s="4">
        <f>54.0017 * CHOOSE(CONTROL!$C$9, $C$13, 100%, $E$13) + CHOOSE(CONTROL!$C$28, 0.013, 0)</f>
        <v>54.014699999999998</v>
      </c>
      <c r="C825" s="4">
        <f>53.6385 * CHOOSE(CONTROL!$C$9, $C$13, 100%, $E$13) + CHOOSE(CONTROL!$C$28, 0.013, 0)</f>
        <v>53.651499999999999</v>
      </c>
      <c r="D825" s="4">
        <f>76.513 * CHOOSE(CONTROL!$C$9, $C$13, 100%, $E$13) + CHOOSE(CONTROL!$C$28, 0, 0)</f>
        <v>76.513000000000005</v>
      </c>
      <c r="E825" s="4">
        <f>377.479075105668 * CHOOSE(CONTROL!$C$9, $C$13, 100%, $E$13) + CHOOSE(CONTROL!$C$28, 0, 0)</f>
        <v>377.47907510566802</v>
      </c>
    </row>
    <row r="826" spans="1:5" ht="15">
      <c r="A826" s="13">
        <v>66657</v>
      </c>
      <c r="B826" s="4">
        <f>54.1702 * CHOOSE(CONTROL!$C$9, $C$13, 100%, $E$13) + CHOOSE(CONTROL!$C$28, 0.013, 0)</f>
        <v>54.183199999999999</v>
      </c>
      <c r="C826" s="4">
        <f>53.8069 * CHOOSE(CONTROL!$C$9, $C$13, 100%, $E$13) + CHOOSE(CONTROL!$C$28, 0.013, 0)</f>
        <v>53.819899999999997</v>
      </c>
      <c r="D826" s="4">
        <f>77.202 * CHOOSE(CONTROL!$C$9, $C$13, 100%, $E$13) + CHOOSE(CONTROL!$C$28, 0, 0)</f>
        <v>77.201999999999998</v>
      </c>
      <c r="E826" s="4">
        <f>378.673470328555 * CHOOSE(CONTROL!$C$9, $C$13, 100%, $E$13) + CHOOSE(CONTROL!$C$28, 0, 0)</f>
        <v>378.67347032855503</v>
      </c>
    </row>
    <row r="827" spans="1:5" ht="15">
      <c r="A827" s="13">
        <v>66688</v>
      </c>
      <c r="B827" s="4">
        <f>54.1532 * CHOOSE(CONTROL!$C$9, $C$13, 100%, $E$13) + CHOOSE(CONTROL!$C$28, 0.013, 0)</f>
        <v>54.166199999999996</v>
      </c>
      <c r="C827" s="4">
        <f>53.7899 * CHOOSE(CONTROL!$C$9, $C$13, 100%, $E$13) + CHOOSE(CONTROL!$C$28, 0.013, 0)</f>
        <v>53.802900000000001</v>
      </c>
      <c r="D827" s="4">
        <f>78.4453 * CHOOSE(CONTROL!$C$9, $C$13, 100%, $E$13) + CHOOSE(CONTROL!$C$28, 0, 0)</f>
        <v>78.445300000000003</v>
      </c>
      <c r="E827" s="4">
        <f>378.553027112802 * CHOOSE(CONTROL!$C$9, $C$13, 100%, $E$13) + CHOOSE(CONTROL!$C$28, 0, 0)</f>
        <v>378.553027112802</v>
      </c>
    </row>
    <row r="828" spans="1:5" ht="15">
      <c r="A828" s="13">
        <v>66719</v>
      </c>
      <c r="B828" s="4">
        <f>55.4312 * CHOOSE(CONTROL!$C$9, $C$13, 100%, $E$13) + CHOOSE(CONTROL!$C$28, 0.013, 0)</f>
        <v>55.444199999999995</v>
      </c>
      <c r="C828" s="4">
        <f>55.0679 * CHOOSE(CONTROL!$C$9, $C$13, 100%, $E$13) + CHOOSE(CONTROL!$C$28, 0.013, 0)</f>
        <v>55.0809</v>
      </c>
      <c r="D828" s="4">
        <f>77.6242 * CHOOSE(CONTROL!$C$9, $C$13, 100%, $E$13) + CHOOSE(CONTROL!$C$28, 0, 0)</f>
        <v>77.624200000000002</v>
      </c>
      <c r="E828" s="4">
        <f>387.616379098242 * CHOOSE(CONTROL!$C$9, $C$13, 100%, $E$13) + CHOOSE(CONTROL!$C$28, 0, 0)</f>
        <v>387.61637909824202</v>
      </c>
    </row>
    <row r="829" spans="1:5" ht="15">
      <c r="A829" s="13">
        <v>66749</v>
      </c>
      <c r="B829" s="4">
        <f>53.253 * CHOOSE(CONTROL!$C$9, $C$13, 100%, $E$13) + CHOOSE(CONTROL!$C$28, 0.013, 0)</f>
        <v>53.265999999999998</v>
      </c>
      <c r="C829" s="4">
        <f>52.8898 * CHOOSE(CONTROL!$C$9, $C$13, 100%, $E$13) + CHOOSE(CONTROL!$C$28, 0.013, 0)</f>
        <v>52.902799999999999</v>
      </c>
      <c r="D829" s="4">
        <f>77.2363 * CHOOSE(CONTROL!$C$9, $C$13, 100%, $E$13) + CHOOSE(CONTROL!$C$28, 0, 0)</f>
        <v>77.2363</v>
      </c>
      <c r="E829" s="4">
        <f>372.169536677874 * CHOOSE(CONTROL!$C$9, $C$13, 100%, $E$13) + CHOOSE(CONTROL!$C$28, 0, 0)</f>
        <v>372.16953667787402</v>
      </c>
    </row>
    <row r="830" spans="1:5" ht="15">
      <c r="A830" s="13">
        <v>66780</v>
      </c>
      <c r="B830" s="4">
        <f>51.5094 * CHOOSE(CONTROL!$C$9, $C$13, 100%, $E$13) + CHOOSE(CONTROL!$C$28, 0.0003, 0)</f>
        <v>51.509700000000002</v>
      </c>
      <c r="C830" s="4">
        <f>51.1461 * CHOOSE(CONTROL!$C$9, $C$13, 100%, $E$13) + CHOOSE(CONTROL!$C$28, 0.0003, 0)</f>
        <v>51.1464</v>
      </c>
      <c r="D830" s="4">
        <f>76.1976 * CHOOSE(CONTROL!$C$9, $C$13, 100%, $E$13) + CHOOSE(CONTROL!$C$28, 0, 0)</f>
        <v>76.197599999999994</v>
      </c>
      <c r="E830" s="4">
        <f>359.804033193863 * CHOOSE(CONTROL!$C$9, $C$13, 100%, $E$13) + CHOOSE(CONTROL!$C$28, 0, 0)</f>
        <v>359.80403319386301</v>
      </c>
    </row>
    <row r="831" spans="1:5" ht="15">
      <c r="A831" s="13">
        <v>66810</v>
      </c>
      <c r="B831" s="4">
        <f>50.3863 * CHOOSE(CONTROL!$C$9, $C$13, 100%, $E$13) + CHOOSE(CONTROL!$C$28, 0.0003, 0)</f>
        <v>50.386600000000001</v>
      </c>
      <c r="C831" s="4">
        <f>50.023 * CHOOSE(CONTROL!$C$9, $C$13, 100%, $E$13) + CHOOSE(CONTROL!$C$28, 0.0003, 0)</f>
        <v>50.023300000000006</v>
      </c>
      <c r="D831" s="4">
        <f>75.8404 * CHOOSE(CONTROL!$C$9, $C$13, 100%, $E$13) + CHOOSE(CONTROL!$C$28, 0, 0)</f>
        <v>75.840400000000002</v>
      </c>
      <c r="E831" s="4">
        <f>351.839725552172 * CHOOSE(CONTROL!$C$9, $C$13, 100%, $E$13) + CHOOSE(CONTROL!$C$28, 0, 0)</f>
        <v>351.83972555217201</v>
      </c>
    </row>
    <row r="832" spans="1:5" ht="15">
      <c r="A832" s="13">
        <v>66841</v>
      </c>
      <c r="B832" s="4">
        <f>49.6093 * CHOOSE(CONTROL!$C$9, $C$13, 100%, $E$13) + CHOOSE(CONTROL!$C$28, 0.0003, 0)</f>
        <v>49.6096</v>
      </c>
      <c r="C832" s="4">
        <f>49.246 * CHOOSE(CONTROL!$C$9, $C$13, 100%, $E$13) + CHOOSE(CONTROL!$C$28, 0.0003, 0)</f>
        <v>49.246300000000005</v>
      </c>
      <c r="D832" s="4">
        <f>73.2114 * CHOOSE(CONTROL!$C$9, $C$13, 100%, $E$13) + CHOOSE(CONTROL!$C$28, 0, 0)</f>
        <v>73.211399999999998</v>
      </c>
      <c r="E832" s="4">
        <f>346.329448431456 * CHOOSE(CONTROL!$C$9, $C$13, 100%, $E$13) + CHOOSE(CONTROL!$C$28, 0, 0)</f>
        <v>346.329448431456</v>
      </c>
    </row>
    <row r="833" spans="1:5" ht="15">
      <c r="A833" s="13">
        <v>66872</v>
      </c>
      <c r="B833" s="4">
        <f>47.4835 * CHOOSE(CONTROL!$C$9, $C$13, 100%, $E$13) + CHOOSE(CONTROL!$C$28, 0.0003, 0)</f>
        <v>47.483800000000002</v>
      </c>
      <c r="C833" s="4">
        <f>47.1202 * CHOOSE(CONTROL!$C$9, $C$13, 100%, $E$13) + CHOOSE(CONTROL!$C$28, 0.0003, 0)</f>
        <v>47.1205</v>
      </c>
      <c r="D833" s="4">
        <f>70.3152 * CHOOSE(CONTROL!$C$9, $C$13, 100%, $E$13) + CHOOSE(CONTROL!$C$28, 0, 0)</f>
        <v>70.315200000000004</v>
      </c>
      <c r="E833" s="4">
        <f>331.9034196257 * CHOOSE(CONTROL!$C$9, $C$13, 100%, $E$13) + CHOOSE(CONTROL!$C$28, 0, 0)</f>
        <v>331.9034196257</v>
      </c>
    </row>
    <row r="834" spans="1:5" ht="15">
      <c r="A834" s="13">
        <v>66900</v>
      </c>
      <c r="B834" s="4">
        <f>48.5925 * CHOOSE(CONTROL!$C$9, $C$13, 100%, $E$13) + CHOOSE(CONTROL!$C$28, 0.0003, 0)</f>
        <v>48.592800000000004</v>
      </c>
      <c r="C834" s="4">
        <f>48.2293 * CHOOSE(CONTROL!$C$9, $C$13, 100%, $E$13) + CHOOSE(CONTROL!$C$28, 0.0003, 0)</f>
        <v>48.229600000000005</v>
      </c>
      <c r="D834" s="4">
        <f>72.7316 * CHOOSE(CONTROL!$C$9, $C$13, 100%, $E$13) + CHOOSE(CONTROL!$C$28, 0, 0)</f>
        <v>72.7316</v>
      </c>
      <c r="E834" s="4">
        <f>339.784114808934 * CHOOSE(CONTROL!$C$9, $C$13, 100%, $E$13) + CHOOSE(CONTROL!$C$28, 0, 0)</f>
        <v>339.78411480893402</v>
      </c>
    </row>
    <row r="835" spans="1:5" ht="15">
      <c r="A835" s="13">
        <v>66931</v>
      </c>
      <c r="B835" s="4">
        <f>51.505 * CHOOSE(CONTROL!$C$9, $C$13, 100%, $E$13) + CHOOSE(CONTROL!$C$28, 0.0003, 0)</f>
        <v>51.505300000000005</v>
      </c>
      <c r="C835" s="4">
        <f>51.1418 * CHOOSE(CONTROL!$C$9, $C$13, 100%, $E$13) + CHOOSE(CONTROL!$C$28, 0.0003, 0)</f>
        <v>51.142100000000006</v>
      </c>
      <c r="D835" s="4">
        <f>76.5142 * CHOOSE(CONTROL!$C$9, $C$13, 100%, $E$13) + CHOOSE(CONTROL!$C$28, 0, 0)</f>
        <v>76.514200000000002</v>
      </c>
      <c r="E835" s="4">
        <f>360.479239165683 * CHOOSE(CONTROL!$C$9, $C$13, 100%, $E$13) + CHOOSE(CONTROL!$C$28, 0, 0)</f>
        <v>360.479239165683</v>
      </c>
    </row>
    <row r="836" spans="1:5" ht="15">
      <c r="A836" s="13">
        <v>66961</v>
      </c>
      <c r="B836" s="4">
        <f>53.5744 * CHOOSE(CONTROL!$C$9, $C$13, 100%, $E$13) + CHOOSE(CONTROL!$C$28, 0.0003, 0)</f>
        <v>53.5747</v>
      </c>
      <c r="C836" s="4">
        <f>53.2111 * CHOOSE(CONTROL!$C$9, $C$13, 100%, $E$13) + CHOOSE(CONTROL!$C$28, 0.0003, 0)</f>
        <v>53.211400000000005</v>
      </c>
      <c r="D836" s="4">
        <f>78.6931 * CHOOSE(CONTROL!$C$9, $C$13, 100%, $E$13) + CHOOSE(CONTROL!$C$28, 0, 0)</f>
        <v>78.693100000000001</v>
      </c>
      <c r="E836" s="4">
        <f>375.183400819948 * CHOOSE(CONTROL!$C$9, $C$13, 100%, $E$13) + CHOOSE(CONTROL!$C$28, 0, 0)</f>
        <v>375.18340081994802</v>
      </c>
    </row>
    <row r="837" spans="1:5" ht="15">
      <c r="A837" s="13">
        <v>66992</v>
      </c>
      <c r="B837" s="4">
        <f>54.8387 * CHOOSE(CONTROL!$C$9, $C$13, 100%, $E$13) + CHOOSE(CONTROL!$C$28, 0.013, 0)</f>
        <v>54.851700000000001</v>
      </c>
      <c r="C837" s="4">
        <f>54.4755 * CHOOSE(CONTROL!$C$9, $C$13, 100%, $E$13) + CHOOSE(CONTROL!$C$28, 0.013, 0)</f>
        <v>54.488499999999995</v>
      </c>
      <c r="D837" s="4">
        <f>77.8321 * CHOOSE(CONTROL!$C$9, $C$13, 100%, $E$13) + CHOOSE(CONTROL!$C$28, 0, 0)</f>
        <v>77.832099999999997</v>
      </c>
      <c r="E837" s="4">
        <f>384.167291181133 * CHOOSE(CONTROL!$C$9, $C$13, 100%, $E$13) + CHOOSE(CONTROL!$C$28, 0, 0)</f>
        <v>384.16729118113301</v>
      </c>
    </row>
    <row r="838" spans="1:5" ht="15">
      <c r="A838" s="13">
        <v>67022</v>
      </c>
      <c r="B838" s="4">
        <f>55.0098 * CHOOSE(CONTROL!$C$9, $C$13, 100%, $E$13) + CHOOSE(CONTROL!$C$28, 0.013, 0)</f>
        <v>55.022799999999997</v>
      </c>
      <c r="C838" s="4">
        <f>54.6465 * CHOOSE(CONTROL!$C$9, $C$13, 100%, $E$13) + CHOOSE(CONTROL!$C$28, 0.013, 0)</f>
        <v>54.659500000000001</v>
      </c>
      <c r="D838" s="4">
        <f>78.5333 * CHOOSE(CONTROL!$C$9, $C$13, 100%, $E$13) + CHOOSE(CONTROL!$C$28, 0, 0)</f>
        <v>78.533299999999997</v>
      </c>
      <c r="E838" s="4">
        <f>385.382848830912 * CHOOSE(CONTROL!$C$9, $C$13, 100%, $E$13) + CHOOSE(CONTROL!$C$28, 0, 0)</f>
        <v>385.382848830912</v>
      </c>
    </row>
    <row r="839" spans="1:5" ht="15">
      <c r="A839" s="13">
        <v>67053</v>
      </c>
      <c r="B839" s="4">
        <f>54.9926 * CHOOSE(CONTROL!$C$9, $C$13, 100%, $E$13) + CHOOSE(CONTROL!$C$28, 0.013, 0)</f>
        <v>55.005600000000001</v>
      </c>
      <c r="C839" s="4">
        <f>54.6293 * CHOOSE(CONTROL!$C$9, $C$13, 100%, $E$13) + CHOOSE(CONTROL!$C$28, 0.013, 0)</f>
        <v>54.642299999999999</v>
      </c>
      <c r="D839" s="4">
        <f>79.7985 * CHOOSE(CONTROL!$C$9, $C$13, 100%, $E$13) + CHOOSE(CONTROL!$C$28, 0, 0)</f>
        <v>79.798500000000004</v>
      </c>
      <c r="E839" s="4">
        <f>385.260271588917 * CHOOSE(CONTROL!$C$9, $C$13, 100%, $E$13) + CHOOSE(CONTROL!$C$28, 0, 0)</f>
        <v>385.26027158891702</v>
      </c>
    </row>
    <row r="840" spans="1:5" ht="15">
      <c r="A840" s="13">
        <v>67084</v>
      </c>
      <c r="B840" s="4">
        <f>56.2907 * CHOOSE(CONTROL!$C$9, $C$13, 100%, $E$13) + CHOOSE(CONTROL!$C$28, 0.013, 0)</f>
        <v>56.303699999999999</v>
      </c>
      <c r="C840" s="4">
        <f>55.9274 * CHOOSE(CONTROL!$C$9, $C$13, 100%, $E$13) + CHOOSE(CONTROL!$C$28, 0.013, 0)</f>
        <v>55.940399999999997</v>
      </c>
      <c r="D840" s="4">
        <f>78.963 * CHOOSE(CONTROL!$C$9, $C$13, 100%, $E$13) + CHOOSE(CONTROL!$C$28, 0, 0)</f>
        <v>78.962999999999994</v>
      </c>
      <c r="E840" s="4">
        <f>394.484209049008 * CHOOSE(CONTROL!$C$9, $C$13, 100%, $E$13) + CHOOSE(CONTROL!$C$28, 0, 0)</f>
        <v>394.48420904900797</v>
      </c>
    </row>
    <row r="841" spans="1:5" ht="15">
      <c r="A841" s="13">
        <v>67114</v>
      </c>
      <c r="B841" s="4">
        <f>54.0783 * CHOOSE(CONTROL!$C$9, $C$13, 100%, $E$13) + CHOOSE(CONTROL!$C$28, 0.013, 0)</f>
        <v>54.091299999999997</v>
      </c>
      <c r="C841" s="4">
        <f>53.715 * CHOOSE(CONTROL!$C$9, $C$13, 100%, $E$13) + CHOOSE(CONTROL!$C$28, 0.013, 0)</f>
        <v>53.728000000000002</v>
      </c>
      <c r="D841" s="4">
        <f>78.5682 * CHOOSE(CONTROL!$C$9, $C$13, 100%, $E$13) + CHOOSE(CONTROL!$C$28, 0, 0)</f>
        <v>78.568200000000004</v>
      </c>
      <c r="E841" s="4">
        <f>378.763677763206 * CHOOSE(CONTROL!$C$9, $C$13, 100%, $E$13) + CHOOSE(CONTROL!$C$28, 0, 0)</f>
        <v>378.76367776320598</v>
      </c>
    </row>
    <row r="842" spans="1:5" ht="15">
      <c r="A842" s="13">
        <v>67145</v>
      </c>
      <c r="B842" s="4">
        <f>52.3072 * CHOOSE(CONTROL!$C$9, $C$13, 100%, $E$13) + CHOOSE(CONTROL!$C$28, 0.0003, 0)</f>
        <v>52.307500000000005</v>
      </c>
      <c r="C842" s="4">
        <f>51.9439 * CHOOSE(CONTROL!$C$9, $C$13, 100%, $E$13) + CHOOSE(CONTROL!$C$28, 0.0003, 0)</f>
        <v>51.944200000000002</v>
      </c>
      <c r="D842" s="4">
        <f>77.5111 * CHOOSE(CONTROL!$C$9, $C$13, 100%, $E$13) + CHOOSE(CONTROL!$C$28, 0, 0)</f>
        <v>77.511099999999999</v>
      </c>
      <c r="E842" s="4">
        <f>366.17908091843 * CHOOSE(CONTROL!$C$9, $C$13, 100%, $E$13) + CHOOSE(CONTROL!$C$28, 0, 0)</f>
        <v>366.17908091842997</v>
      </c>
    </row>
    <row r="843" spans="1:5" ht="15">
      <c r="A843" s="13">
        <v>67175</v>
      </c>
      <c r="B843" s="4">
        <f>51.1665 * CHOOSE(CONTROL!$C$9, $C$13, 100%, $E$13) + CHOOSE(CONTROL!$C$28, 0.0003, 0)</f>
        <v>51.166800000000002</v>
      </c>
      <c r="C843" s="4">
        <f>50.8032 * CHOOSE(CONTROL!$C$9, $C$13, 100%, $E$13) + CHOOSE(CONTROL!$C$28, 0.0003, 0)</f>
        <v>50.8035</v>
      </c>
      <c r="D843" s="4">
        <f>77.1477 * CHOOSE(CONTROL!$C$9, $C$13, 100%, $E$13) + CHOOSE(CONTROL!$C$28, 0, 0)</f>
        <v>77.1477</v>
      </c>
      <c r="E843" s="4">
        <f>358.07366079154 * CHOOSE(CONTROL!$C$9, $C$13, 100%, $E$13) + CHOOSE(CONTROL!$C$28, 0, 0)</f>
        <v>358.07366079154002</v>
      </c>
    </row>
    <row r="844" spans="1:5" ht="15">
      <c r="A844" s="13">
        <v>67206</v>
      </c>
      <c r="B844" s="4">
        <f>50.3773 * CHOOSE(CONTROL!$C$9, $C$13, 100%, $E$13) + CHOOSE(CONTROL!$C$28, 0.0003, 0)</f>
        <v>50.377600000000001</v>
      </c>
      <c r="C844" s="4">
        <f>50.014 * CHOOSE(CONTROL!$C$9, $C$13, 100%, $E$13) + CHOOSE(CONTROL!$C$28, 0.0003, 0)</f>
        <v>50.014300000000006</v>
      </c>
      <c r="D844" s="4">
        <f>74.4722 * CHOOSE(CONTROL!$C$9, $C$13, 100%, $E$13) + CHOOSE(CONTROL!$C$28, 0, 0)</f>
        <v>74.472200000000001</v>
      </c>
      <c r="E844" s="4">
        <f>352.465751970288 * CHOOSE(CONTROL!$C$9, $C$13, 100%, $E$13) + CHOOSE(CONTROL!$C$28, 0, 0)</f>
        <v>352.46575197028801</v>
      </c>
    </row>
    <row r="845" spans="1:5" ht="15">
      <c r="A845" s="13">
        <v>67237</v>
      </c>
      <c r="B845" s="4">
        <f>48.218 * CHOOSE(CONTROL!$C$9, $C$13, 100%, $E$13) + CHOOSE(CONTROL!$C$28, 0.0003, 0)</f>
        <v>48.218300000000006</v>
      </c>
      <c r="C845" s="4">
        <f>47.8547 * CHOOSE(CONTROL!$C$9, $C$13, 100%, $E$13) + CHOOSE(CONTROL!$C$28, 0.0003, 0)</f>
        <v>47.855000000000004</v>
      </c>
      <c r="D845" s="4">
        <f>71.5249 * CHOOSE(CONTROL!$C$9, $C$13, 100%, $E$13) + CHOOSE(CONTROL!$C$28, 0, 0)</f>
        <v>71.524900000000002</v>
      </c>
      <c r="E845" s="4">
        <f>337.784121187822 * CHOOSE(CONTROL!$C$9, $C$13, 100%, $E$13) + CHOOSE(CONTROL!$C$28, 0, 0)</f>
        <v>337.784121187822</v>
      </c>
    </row>
    <row r="846" spans="1:5" ht="15">
      <c r="A846" s="13">
        <v>67266</v>
      </c>
      <c r="B846" s="4">
        <f>49.3445 * CHOOSE(CONTROL!$C$9, $C$13, 100%, $E$13) + CHOOSE(CONTROL!$C$28, 0.0003, 0)</f>
        <v>49.344799999999999</v>
      </c>
      <c r="C846" s="4">
        <f>48.9812 * CHOOSE(CONTROL!$C$9, $C$13, 100%, $E$13) + CHOOSE(CONTROL!$C$28, 0.0003, 0)</f>
        <v>48.981500000000004</v>
      </c>
      <c r="D846" s="4">
        <f>73.9839 * CHOOSE(CONTROL!$C$9, $C$13, 100%, $E$13) + CHOOSE(CONTROL!$C$28, 0, 0)</f>
        <v>73.983900000000006</v>
      </c>
      <c r="E846" s="4">
        <f>345.804447401453 * CHOOSE(CONTROL!$C$9, $C$13, 100%, $E$13) + CHOOSE(CONTROL!$C$28, 0, 0)</f>
        <v>345.80444740145299</v>
      </c>
    </row>
    <row r="847" spans="1:5" ht="15">
      <c r="A847" s="13">
        <v>67297</v>
      </c>
      <c r="B847" s="4">
        <f>52.3028 * CHOOSE(CONTROL!$C$9, $C$13, 100%, $E$13) + CHOOSE(CONTROL!$C$28, 0.0003, 0)</f>
        <v>52.303100000000001</v>
      </c>
      <c r="C847" s="4">
        <f>51.9395 * CHOOSE(CONTROL!$C$9, $C$13, 100%, $E$13) + CHOOSE(CONTROL!$C$28, 0.0003, 0)</f>
        <v>51.939800000000005</v>
      </c>
      <c r="D847" s="4">
        <f>77.8333 * CHOOSE(CONTROL!$C$9, $C$13, 100%, $E$13) + CHOOSE(CONTROL!$C$28, 0, 0)</f>
        <v>77.833299999999994</v>
      </c>
      <c r="E847" s="4">
        <f>366.866250264468 * CHOOSE(CONTROL!$C$9, $C$13, 100%, $E$13) + CHOOSE(CONTROL!$C$28, 0, 0)</f>
        <v>366.86625026446802</v>
      </c>
    </row>
    <row r="848" spans="1:5" ht="15">
      <c r="A848" s="13">
        <v>67327</v>
      </c>
      <c r="B848" s="4">
        <f>54.4047 * CHOOSE(CONTROL!$C$9, $C$13, 100%, $E$13) + CHOOSE(CONTROL!$C$28, 0.0003, 0)</f>
        <v>54.405000000000001</v>
      </c>
      <c r="C848" s="4">
        <f>54.0414 * CHOOSE(CONTROL!$C$9, $C$13, 100%, $E$13) + CHOOSE(CONTROL!$C$28, 0.0003, 0)</f>
        <v>54.041700000000006</v>
      </c>
      <c r="D848" s="4">
        <f>80.0507 * CHOOSE(CONTROL!$C$9, $C$13, 100%, $E$13) + CHOOSE(CONTROL!$C$28, 0, 0)</f>
        <v>80.050700000000006</v>
      </c>
      <c r="E848" s="4">
        <f>381.830941884069 * CHOOSE(CONTROL!$C$9, $C$13, 100%, $E$13) + CHOOSE(CONTROL!$C$28, 0, 0)</f>
        <v>381.83094188406898</v>
      </c>
    </row>
    <row r="849" spans="1:5" ht="15">
      <c r="A849" s="13">
        <v>67358</v>
      </c>
      <c r="B849" s="4">
        <f>55.6889 * CHOOSE(CONTROL!$C$9, $C$13, 100%, $E$13) + CHOOSE(CONTROL!$C$28, 0.013, 0)</f>
        <v>55.701899999999995</v>
      </c>
      <c r="C849" s="4">
        <f>55.3256 * CHOOSE(CONTROL!$C$9, $C$13, 100%, $E$13) + CHOOSE(CONTROL!$C$28, 0.013, 0)</f>
        <v>55.3386</v>
      </c>
      <c r="D849" s="4">
        <f>79.1745 * CHOOSE(CONTROL!$C$9, $C$13, 100%, $E$13) + CHOOSE(CONTROL!$C$28, 0, 0)</f>
        <v>79.174499999999995</v>
      </c>
      <c r="E849" s="4">
        <f>390.974009810042 * CHOOSE(CONTROL!$C$9, $C$13, 100%, $E$13) + CHOOSE(CONTROL!$C$28, 0, 0)</f>
        <v>390.97400981004199</v>
      </c>
    </row>
    <row r="850" spans="1:5" ht="15">
      <c r="A850" s="13">
        <v>67388</v>
      </c>
      <c r="B850" s="4">
        <f>55.8627 * CHOOSE(CONTROL!$C$9, $C$13, 100%, $E$13) + CHOOSE(CONTROL!$C$28, 0.013, 0)</f>
        <v>55.875699999999995</v>
      </c>
      <c r="C850" s="4">
        <f>55.4994 * CHOOSE(CONTROL!$C$9, $C$13, 100%, $E$13) + CHOOSE(CONTROL!$C$28, 0.013, 0)</f>
        <v>55.5124</v>
      </c>
      <c r="D850" s="4">
        <f>79.8881 * CHOOSE(CONTROL!$C$9, $C$13, 100%, $E$13) + CHOOSE(CONTROL!$C$28, 0, 0)</f>
        <v>79.888099999999994</v>
      </c>
      <c r="E850" s="4">
        <f>392.211104844938 * CHOOSE(CONTROL!$C$9, $C$13, 100%, $E$13) + CHOOSE(CONTROL!$C$28, 0, 0)</f>
        <v>392.21110484493801</v>
      </c>
    </row>
    <row r="851" spans="1:5" ht="15">
      <c r="A851" s="13">
        <v>67419</v>
      </c>
      <c r="B851" s="4">
        <f>55.8452 * CHOOSE(CONTROL!$C$9, $C$13, 100%, $E$13) + CHOOSE(CONTROL!$C$28, 0.013, 0)</f>
        <v>55.858199999999997</v>
      </c>
      <c r="C851" s="4">
        <f>55.4819 * CHOOSE(CONTROL!$C$9, $C$13, 100%, $E$13) + CHOOSE(CONTROL!$C$28, 0.013, 0)</f>
        <v>55.494900000000001</v>
      </c>
      <c r="D851" s="4">
        <f>81.1757 * CHOOSE(CONTROL!$C$9, $C$13, 100%, $E$13) + CHOOSE(CONTROL!$C$28, 0, 0)</f>
        <v>81.175700000000006</v>
      </c>
      <c r="E851" s="4">
        <f>392.086355765789 * CHOOSE(CONTROL!$C$9, $C$13, 100%, $E$13) + CHOOSE(CONTROL!$C$28, 0, 0)</f>
        <v>392.08635576578899</v>
      </c>
    </row>
    <row r="852" spans="1:5" ht="15">
      <c r="A852" s="13">
        <v>67450</v>
      </c>
      <c r="B852" s="4">
        <f>57.1637 * CHOOSE(CONTROL!$C$9, $C$13, 100%, $E$13) + CHOOSE(CONTROL!$C$28, 0.013, 0)</f>
        <v>57.176699999999997</v>
      </c>
      <c r="C852" s="4">
        <f>56.8004 * CHOOSE(CONTROL!$C$9, $C$13, 100%, $E$13) + CHOOSE(CONTROL!$C$28, 0.013, 0)</f>
        <v>56.813400000000001</v>
      </c>
      <c r="D852" s="4">
        <f>80.3254 * CHOOSE(CONTROL!$C$9, $C$13, 100%, $E$13) + CHOOSE(CONTROL!$C$28, 0, 0)</f>
        <v>80.325400000000002</v>
      </c>
      <c r="E852" s="4">
        <f>401.473723971763 * CHOOSE(CONTROL!$C$9, $C$13, 100%, $E$13) + CHOOSE(CONTROL!$C$28, 0, 0)</f>
        <v>401.47372397176298</v>
      </c>
    </row>
    <row r="853" spans="1:5" ht="15">
      <c r="A853" s="13">
        <v>67480</v>
      </c>
      <c r="B853" s="4">
        <f>54.9165 * CHOOSE(CONTROL!$C$9, $C$13, 100%, $E$13) + CHOOSE(CONTROL!$C$28, 0.013, 0)</f>
        <v>54.929499999999997</v>
      </c>
      <c r="C853" s="4">
        <f>54.5532 * CHOOSE(CONTROL!$C$9, $C$13, 100%, $E$13) + CHOOSE(CONTROL!$C$28, 0.013, 0)</f>
        <v>54.566199999999995</v>
      </c>
      <c r="D853" s="4">
        <f>79.9236 * CHOOSE(CONTROL!$C$9, $C$13, 100%, $E$13) + CHOOSE(CONTROL!$C$28, 0, 0)</f>
        <v>79.923599999999993</v>
      </c>
      <c r="E853" s="4">
        <f>385.474654570884 * CHOOSE(CONTROL!$C$9, $C$13, 100%, $E$13) + CHOOSE(CONTROL!$C$28, 0, 0)</f>
        <v>385.47465457088401</v>
      </c>
    </row>
    <row r="854" spans="1:5" ht="15">
      <c r="A854" s="13">
        <v>67511</v>
      </c>
      <c r="B854" s="4">
        <f>53.1176 * CHOOSE(CONTROL!$C$9, $C$13, 100%, $E$13) + CHOOSE(CONTROL!$C$28, 0.0003, 0)</f>
        <v>53.117900000000006</v>
      </c>
      <c r="C854" s="4">
        <f>52.7543 * CHOOSE(CONTROL!$C$9, $C$13, 100%, $E$13) + CHOOSE(CONTROL!$C$28, 0.0003, 0)</f>
        <v>52.754600000000003</v>
      </c>
      <c r="D854" s="4">
        <f>78.8479 * CHOOSE(CONTROL!$C$9, $C$13, 100%, $E$13) + CHOOSE(CONTROL!$C$28, 0, 0)</f>
        <v>78.847899999999996</v>
      </c>
      <c r="E854" s="4">
        <f>372.667082444904 * CHOOSE(CONTROL!$C$9, $C$13, 100%, $E$13) + CHOOSE(CONTROL!$C$28, 0, 0)</f>
        <v>372.667082444904</v>
      </c>
    </row>
    <row r="855" spans="1:5" ht="15">
      <c r="A855" s="13">
        <v>67541</v>
      </c>
      <c r="B855" s="4">
        <f>51.9589 * CHOOSE(CONTROL!$C$9, $C$13, 100%, $E$13) + CHOOSE(CONTROL!$C$28, 0.0003, 0)</f>
        <v>51.959200000000003</v>
      </c>
      <c r="C855" s="4">
        <f>51.5956 * CHOOSE(CONTROL!$C$9, $C$13, 100%, $E$13) + CHOOSE(CONTROL!$C$28, 0.0003, 0)</f>
        <v>51.5959</v>
      </c>
      <c r="D855" s="4">
        <f>78.478 * CHOOSE(CONTROL!$C$9, $C$13, 100%, $E$13) + CHOOSE(CONTROL!$C$28, 0, 0)</f>
        <v>78.477999999999994</v>
      </c>
      <c r="E855" s="4">
        <f>364.418049586166 * CHOOSE(CONTROL!$C$9, $C$13, 100%, $E$13) + CHOOSE(CONTROL!$C$28, 0, 0)</f>
        <v>364.41804958616598</v>
      </c>
    </row>
    <row r="856" spans="1:5" ht="15">
      <c r="A856" s="13">
        <v>67572</v>
      </c>
      <c r="B856" s="4">
        <f>51.1573 * CHOOSE(CONTROL!$C$9, $C$13, 100%, $E$13) + CHOOSE(CONTROL!$C$28, 0.0003, 0)</f>
        <v>51.157600000000002</v>
      </c>
      <c r="C856" s="4">
        <f>50.794 * CHOOSE(CONTROL!$C$9, $C$13, 100%, $E$13) + CHOOSE(CONTROL!$C$28, 0.0003, 0)</f>
        <v>50.7943</v>
      </c>
      <c r="D856" s="4">
        <f>75.7552 * CHOOSE(CONTROL!$C$9, $C$13, 100%, $E$13) + CHOOSE(CONTROL!$C$28, 0, 0)</f>
        <v>75.755200000000002</v>
      </c>
      <c r="E856" s="4">
        <f>358.710779215092 * CHOOSE(CONTROL!$C$9, $C$13, 100%, $E$13) + CHOOSE(CONTROL!$C$28, 0, 0)</f>
        <v>358.71077921509197</v>
      </c>
    </row>
    <row r="857" spans="1:5" ht="15">
      <c r="A857" s="13">
        <v>67603</v>
      </c>
      <c r="B857" s="4">
        <f>48.964 * CHOOSE(CONTROL!$C$9, $C$13, 100%, $E$13) + CHOOSE(CONTROL!$C$28, 0.0003, 0)</f>
        <v>48.964300000000001</v>
      </c>
      <c r="C857" s="4">
        <f>48.6007 * CHOOSE(CONTROL!$C$9, $C$13, 100%, $E$13) + CHOOSE(CONTROL!$C$28, 0.0003, 0)</f>
        <v>48.601000000000006</v>
      </c>
      <c r="D857" s="4">
        <f>72.7559 * CHOOSE(CONTROL!$C$9, $C$13, 100%, $E$13) + CHOOSE(CONTROL!$C$28, 0, 0)</f>
        <v>72.755899999999997</v>
      </c>
      <c r="E857" s="4">
        <f>343.769017671773 * CHOOSE(CONTROL!$C$9, $C$13, 100%, $E$13) + CHOOSE(CONTROL!$C$28, 0, 0)</f>
        <v>343.76901767177299</v>
      </c>
    </row>
    <row r="858" spans="1:5" ht="15">
      <c r="A858" s="13">
        <v>67631</v>
      </c>
      <c r="B858" s="4">
        <f>50.1083 * CHOOSE(CONTROL!$C$9, $C$13, 100%, $E$13) + CHOOSE(CONTROL!$C$28, 0.0003, 0)</f>
        <v>50.108600000000003</v>
      </c>
      <c r="C858" s="4">
        <f>49.745 * CHOOSE(CONTROL!$C$9, $C$13, 100%, $E$13) + CHOOSE(CONTROL!$C$28, 0.0003, 0)</f>
        <v>49.7453</v>
      </c>
      <c r="D858" s="4">
        <f>75.2584 * CHOOSE(CONTROL!$C$9, $C$13, 100%, $E$13) + CHOOSE(CONTROL!$C$28, 0, 0)</f>
        <v>75.258399999999995</v>
      </c>
      <c r="E858" s="4">
        <f>351.931448913868 * CHOOSE(CONTROL!$C$9, $C$13, 100%, $E$13) + CHOOSE(CONTROL!$C$28, 0, 0)</f>
        <v>351.931448913868</v>
      </c>
    </row>
    <row r="859" spans="1:5" ht="15">
      <c r="A859" s="13">
        <v>67662</v>
      </c>
      <c r="B859" s="4">
        <f>53.1131 * CHOOSE(CONTROL!$C$9, $C$13, 100%, $E$13) + CHOOSE(CONTROL!$C$28, 0.0003, 0)</f>
        <v>53.113400000000006</v>
      </c>
      <c r="C859" s="4">
        <f>52.7498 * CHOOSE(CONTROL!$C$9, $C$13, 100%, $E$13) + CHOOSE(CONTROL!$C$28, 0.0003, 0)</f>
        <v>52.750100000000003</v>
      </c>
      <c r="D859" s="4">
        <f>79.1758 * CHOOSE(CONTROL!$C$9, $C$13, 100%, $E$13) + CHOOSE(CONTROL!$C$28, 0, 0)</f>
        <v>79.175799999999995</v>
      </c>
      <c r="E859" s="4">
        <f>373.36642713355 * CHOOSE(CONTROL!$C$9, $C$13, 100%, $E$13) + CHOOSE(CONTROL!$C$28, 0, 0)</f>
        <v>373.36642713355002</v>
      </c>
    </row>
    <row r="860" spans="1:5" ht="15">
      <c r="A860" s="13">
        <v>67692</v>
      </c>
      <c r="B860" s="4">
        <f>55.248 * CHOOSE(CONTROL!$C$9, $C$13, 100%, $E$13) + CHOOSE(CONTROL!$C$28, 0.0003, 0)</f>
        <v>55.2483</v>
      </c>
      <c r="C860" s="4">
        <f>54.8848 * CHOOSE(CONTROL!$C$9, $C$13, 100%, $E$13) + CHOOSE(CONTROL!$C$28, 0.0003, 0)</f>
        <v>54.885100000000001</v>
      </c>
      <c r="D860" s="4">
        <f>81.4324 * CHOOSE(CONTROL!$C$9, $C$13, 100%, $E$13) + CHOOSE(CONTROL!$C$28, 0, 0)</f>
        <v>81.432400000000001</v>
      </c>
      <c r="E860" s="4">
        <f>388.596264817278 * CHOOSE(CONTROL!$C$9, $C$13, 100%, $E$13) + CHOOSE(CONTROL!$C$28, 0, 0)</f>
        <v>388.59626481727798</v>
      </c>
    </row>
    <row r="861" spans="1:5" ht="15">
      <c r="A861" s="13">
        <v>67723</v>
      </c>
      <c r="B861" s="4">
        <f>56.5525 * CHOOSE(CONTROL!$C$9, $C$13, 100%, $E$13) + CHOOSE(CONTROL!$C$28, 0.013, 0)</f>
        <v>56.5655</v>
      </c>
      <c r="C861" s="4">
        <f>56.1892 * CHOOSE(CONTROL!$C$9, $C$13, 100%, $E$13) + CHOOSE(CONTROL!$C$28, 0.013, 0)</f>
        <v>56.202199999999998</v>
      </c>
      <c r="D861" s="4">
        <f>80.5407 * CHOOSE(CONTROL!$C$9, $C$13, 100%, $E$13) + CHOOSE(CONTROL!$C$28, 0, 0)</f>
        <v>80.540700000000001</v>
      </c>
      <c r="E861" s="4">
        <f>397.901330633768 * CHOOSE(CONTROL!$C$9, $C$13, 100%, $E$13) + CHOOSE(CONTROL!$C$28, 0, 0)</f>
        <v>397.901330633768</v>
      </c>
    </row>
    <row r="862" spans="1:5" ht="15">
      <c r="A862" s="13">
        <v>67753</v>
      </c>
      <c r="B862" s="4">
        <f>56.729 * CHOOSE(CONTROL!$C$9, $C$13, 100%, $E$13) + CHOOSE(CONTROL!$C$28, 0.013, 0)</f>
        <v>56.741999999999997</v>
      </c>
      <c r="C862" s="4">
        <f>56.3657 * CHOOSE(CONTROL!$C$9, $C$13, 100%, $E$13) + CHOOSE(CONTROL!$C$28, 0.013, 0)</f>
        <v>56.378699999999995</v>
      </c>
      <c r="D862" s="4">
        <f>81.2669 * CHOOSE(CONTROL!$C$9, $C$13, 100%, $E$13) + CHOOSE(CONTROL!$C$28, 0, 0)</f>
        <v>81.266900000000007</v>
      </c>
      <c r="E862" s="4">
        <f>399.160344655556 * CHOOSE(CONTROL!$C$9, $C$13, 100%, $E$13) + CHOOSE(CONTROL!$C$28, 0, 0)</f>
        <v>399.160344655556</v>
      </c>
    </row>
    <row r="863" spans="1:5" ht="15">
      <c r="A863" s="13">
        <v>67784</v>
      </c>
      <c r="B863" s="4">
        <f>56.7112 * CHOOSE(CONTROL!$C$9, $C$13, 100%, $E$13) + CHOOSE(CONTROL!$C$28, 0.013, 0)</f>
        <v>56.724199999999996</v>
      </c>
      <c r="C863" s="4">
        <f>56.3479 * CHOOSE(CONTROL!$C$9, $C$13, 100%, $E$13) + CHOOSE(CONTROL!$C$28, 0.013, 0)</f>
        <v>56.360900000000001</v>
      </c>
      <c r="D863" s="4">
        <f>82.5773 * CHOOSE(CONTROL!$C$9, $C$13, 100%, $E$13) + CHOOSE(CONTROL!$C$28, 0, 0)</f>
        <v>82.577299999999994</v>
      </c>
      <c r="E863" s="4">
        <f>399.033385258401 * CHOOSE(CONTROL!$C$9, $C$13, 100%, $E$13) + CHOOSE(CONTROL!$C$28, 0, 0)</f>
        <v>399.03338525840098</v>
      </c>
    </row>
    <row r="864" spans="1:5" ht="15">
      <c r="A864" s="13">
        <v>67815</v>
      </c>
      <c r="B864" s="4">
        <f>58.0504 * CHOOSE(CONTROL!$C$9, $C$13, 100%, $E$13) + CHOOSE(CONTROL!$C$28, 0.013, 0)</f>
        <v>58.063400000000001</v>
      </c>
      <c r="C864" s="4">
        <f>57.6871 * CHOOSE(CONTROL!$C$9, $C$13, 100%, $E$13) + CHOOSE(CONTROL!$C$28, 0.013, 0)</f>
        <v>57.700099999999999</v>
      </c>
      <c r="D864" s="4">
        <f>81.7119 * CHOOSE(CONTROL!$C$9, $C$13, 100%, $E$13) + CHOOSE(CONTROL!$C$28, 0, 0)</f>
        <v>81.7119</v>
      </c>
      <c r="E864" s="4">
        <f>408.587079894321 * CHOOSE(CONTROL!$C$9, $C$13, 100%, $E$13) + CHOOSE(CONTROL!$C$28, 0, 0)</f>
        <v>408.58707989432099</v>
      </c>
    </row>
    <row r="865" spans="1:5" ht="15">
      <c r="A865" s="13">
        <v>67845</v>
      </c>
      <c r="B865" s="4">
        <f>55.7679 * CHOOSE(CONTROL!$C$9, $C$13, 100%, $E$13) + CHOOSE(CONTROL!$C$28, 0.013, 0)</f>
        <v>55.780899999999995</v>
      </c>
      <c r="C865" s="4">
        <f>55.4046 * CHOOSE(CONTROL!$C$9, $C$13, 100%, $E$13) + CHOOSE(CONTROL!$C$28, 0.013, 0)</f>
        <v>55.4176</v>
      </c>
      <c r="D865" s="4">
        <f>81.303 * CHOOSE(CONTROL!$C$9, $C$13, 100%, $E$13) + CHOOSE(CONTROL!$C$28, 0, 0)</f>
        <v>81.302999999999997</v>
      </c>
      <c r="E865" s="4">
        <f>392.304537209182 * CHOOSE(CONTROL!$C$9, $C$13, 100%, $E$13) + CHOOSE(CONTROL!$C$28, 0, 0)</f>
        <v>392.304537209182</v>
      </c>
    </row>
    <row r="866" spans="1:5" ht="15">
      <c r="A866" s="13">
        <v>67876</v>
      </c>
      <c r="B866" s="4">
        <f>53.9407 * CHOOSE(CONTROL!$C$9, $C$13, 100%, $E$13) + CHOOSE(CONTROL!$C$28, 0.0003, 0)</f>
        <v>53.941000000000003</v>
      </c>
      <c r="C866" s="4">
        <f>53.5774 * CHOOSE(CONTROL!$C$9, $C$13, 100%, $E$13) + CHOOSE(CONTROL!$C$28, 0.0003, 0)</f>
        <v>53.5777</v>
      </c>
      <c r="D866" s="4">
        <f>80.2083 * CHOOSE(CONTROL!$C$9, $C$13, 100%, $E$13) + CHOOSE(CONTROL!$C$28, 0, 0)</f>
        <v>80.208299999999994</v>
      </c>
      <c r="E866" s="4">
        <f>379.270039101261 * CHOOSE(CONTROL!$C$9, $C$13, 100%, $E$13) + CHOOSE(CONTROL!$C$28, 0, 0)</f>
        <v>379.27003910126098</v>
      </c>
    </row>
    <row r="867" spans="1:5" ht="15">
      <c r="A867" s="13">
        <v>67906</v>
      </c>
      <c r="B867" s="4">
        <f>52.7638 * CHOOSE(CONTROL!$C$9, $C$13, 100%, $E$13) + CHOOSE(CONTROL!$C$28, 0.0003, 0)</f>
        <v>52.764100000000006</v>
      </c>
      <c r="C867" s="4">
        <f>52.4005 * CHOOSE(CONTROL!$C$9, $C$13, 100%, $E$13) + CHOOSE(CONTROL!$C$28, 0.0003, 0)</f>
        <v>52.400800000000004</v>
      </c>
      <c r="D867" s="4">
        <f>79.8319 * CHOOSE(CONTROL!$C$9, $C$13, 100%, $E$13) + CHOOSE(CONTROL!$C$28, 0, 0)</f>
        <v>79.831900000000005</v>
      </c>
      <c r="E867" s="4">
        <f>370.874848964382 * CHOOSE(CONTROL!$C$9, $C$13, 100%, $E$13) + CHOOSE(CONTROL!$C$28, 0, 0)</f>
        <v>370.87484896438201</v>
      </c>
    </row>
    <row r="868" spans="1:5" ht="15">
      <c r="A868" s="13">
        <v>67937</v>
      </c>
      <c r="B868" s="4">
        <f>51.9496 * CHOOSE(CONTROL!$C$9, $C$13, 100%, $E$13) + CHOOSE(CONTROL!$C$28, 0.0003, 0)</f>
        <v>51.9499</v>
      </c>
      <c r="C868" s="4">
        <f>51.5863 * CHOOSE(CONTROL!$C$9, $C$13, 100%, $E$13) + CHOOSE(CONTROL!$C$28, 0.0003, 0)</f>
        <v>51.586600000000004</v>
      </c>
      <c r="D868" s="4">
        <f>77.061 * CHOOSE(CONTROL!$C$9, $C$13, 100%, $E$13) + CHOOSE(CONTROL!$C$28, 0, 0)</f>
        <v>77.061000000000007</v>
      </c>
      <c r="E868" s="4">
        <f>365.066456544537 * CHOOSE(CONTROL!$C$9, $C$13, 100%, $E$13) + CHOOSE(CONTROL!$C$28, 0, 0)</f>
        <v>365.066456544537</v>
      </c>
    </row>
    <row r="869" spans="1:5" ht="15">
      <c r="A869" s="13">
        <v>67968</v>
      </c>
      <c r="B869" s="4">
        <f>49.7218 * CHOOSE(CONTROL!$C$9, $C$13, 100%, $E$13) + CHOOSE(CONTROL!$C$28, 0.0003, 0)</f>
        <v>49.722100000000005</v>
      </c>
      <c r="C869" s="4">
        <f>49.3585 * CHOOSE(CONTROL!$C$9, $C$13, 100%, $E$13) + CHOOSE(CONTROL!$C$28, 0.0003, 0)</f>
        <v>49.358800000000002</v>
      </c>
      <c r="D869" s="4">
        <f>74.0086 * CHOOSE(CONTROL!$C$9, $C$13, 100%, $E$13) + CHOOSE(CONTROL!$C$28, 0, 0)</f>
        <v>74.008600000000001</v>
      </c>
      <c r="E869" s="4">
        <f>349.859955214723 * CHOOSE(CONTROL!$C$9, $C$13, 100%, $E$13) + CHOOSE(CONTROL!$C$28, 0, 0)</f>
        <v>349.85995521472302</v>
      </c>
    </row>
    <row r="870" spans="1:5" ht="15">
      <c r="A870" s="13">
        <v>67996</v>
      </c>
      <c r="B870" s="4">
        <f>50.884 * CHOOSE(CONTROL!$C$9, $C$13, 100%, $E$13) + CHOOSE(CONTROL!$C$28, 0.0003, 0)</f>
        <v>50.884300000000003</v>
      </c>
      <c r="C870" s="4">
        <f>50.5208 * CHOOSE(CONTROL!$C$9, $C$13, 100%, $E$13) + CHOOSE(CONTROL!$C$28, 0.0003, 0)</f>
        <v>50.521100000000004</v>
      </c>
      <c r="D870" s="4">
        <f>76.5553 * CHOOSE(CONTROL!$C$9, $C$13, 100%, $E$13) + CHOOSE(CONTROL!$C$28, 0, 0)</f>
        <v>76.555300000000003</v>
      </c>
      <c r="E870" s="4">
        <f>358.167009317921 * CHOOSE(CONTROL!$C$9, $C$13, 100%, $E$13) + CHOOSE(CONTROL!$C$28, 0, 0)</f>
        <v>358.16700931792099</v>
      </c>
    </row>
    <row r="871" spans="1:5" ht="15">
      <c r="A871" s="13">
        <v>68027</v>
      </c>
      <c r="B871" s="4">
        <f>53.9361 * CHOOSE(CONTROL!$C$9, $C$13, 100%, $E$13) + CHOOSE(CONTROL!$C$28, 0.0003, 0)</f>
        <v>53.936400000000006</v>
      </c>
      <c r="C871" s="4">
        <f>53.5728 * CHOOSE(CONTROL!$C$9, $C$13, 100%, $E$13) + CHOOSE(CONTROL!$C$28, 0.0003, 0)</f>
        <v>53.573100000000004</v>
      </c>
      <c r="D871" s="4">
        <f>80.542 * CHOOSE(CONTROL!$C$9, $C$13, 100%, $E$13) + CHOOSE(CONTROL!$C$28, 0, 0)</f>
        <v>80.542000000000002</v>
      </c>
      <c r="E871" s="4">
        <f>379.981774856584 * CHOOSE(CONTROL!$C$9, $C$13, 100%, $E$13) + CHOOSE(CONTROL!$C$28, 0, 0)</f>
        <v>379.98177485658402</v>
      </c>
    </row>
    <row r="872" spans="1:5" ht="15">
      <c r="A872" s="13">
        <v>68057</v>
      </c>
      <c r="B872" s="4">
        <f>56.1047 * CHOOSE(CONTROL!$C$9, $C$13, 100%, $E$13) + CHOOSE(CONTROL!$C$28, 0.0003, 0)</f>
        <v>56.105000000000004</v>
      </c>
      <c r="C872" s="4">
        <f>55.7414 * CHOOSE(CONTROL!$C$9, $C$13, 100%, $E$13) + CHOOSE(CONTROL!$C$28, 0.0003, 0)</f>
        <v>55.741700000000002</v>
      </c>
      <c r="D872" s="4">
        <f>82.8384 * CHOOSE(CONTROL!$C$9, $C$13, 100%, $E$13) + CHOOSE(CONTROL!$C$28, 0, 0)</f>
        <v>82.838399999999993</v>
      </c>
      <c r="E872" s="4">
        <f>395.48145649178 * CHOOSE(CONTROL!$C$9, $C$13, 100%, $E$13) + CHOOSE(CONTROL!$C$28, 0, 0)</f>
        <v>395.48145649178002</v>
      </c>
    </row>
    <row r="873" spans="1:5" ht="15">
      <c r="A873" s="13">
        <v>68088</v>
      </c>
      <c r="B873" s="4">
        <f>57.4296 * CHOOSE(CONTROL!$C$9, $C$13, 100%, $E$13) + CHOOSE(CONTROL!$C$28, 0.013, 0)</f>
        <v>57.442599999999999</v>
      </c>
      <c r="C873" s="4">
        <f>57.0663 * CHOOSE(CONTROL!$C$9, $C$13, 100%, $E$13) + CHOOSE(CONTROL!$C$28, 0.013, 0)</f>
        <v>57.079299999999996</v>
      </c>
      <c r="D873" s="4">
        <f>81.931 * CHOOSE(CONTROL!$C$9, $C$13, 100%, $E$13) + CHOOSE(CONTROL!$C$28, 0, 0)</f>
        <v>81.930999999999997</v>
      </c>
      <c r="E873" s="4">
        <f>404.951390495361 * CHOOSE(CONTROL!$C$9, $C$13, 100%, $E$13) + CHOOSE(CONTROL!$C$28, 0, 0)</f>
        <v>404.95139049536101</v>
      </c>
    </row>
    <row r="874" spans="1:5" ht="15">
      <c r="A874" s="13">
        <v>68118</v>
      </c>
      <c r="B874" s="4">
        <f>57.6088 * CHOOSE(CONTROL!$C$9, $C$13, 100%, $E$13) + CHOOSE(CONTROL!$C$28, 0.013, 0)</f>
        <v>57.6218</v>
      </c>
      <c r="C874" s="4">
        <f>57.2456 * CHOOSE(CONTROL!$C$9, $C$13, 100%, $E$13) + CHOOSE(CONTROL!$C$28, 0.013, 0)</f>
        <v>57.258600000000001</v>
      </c>
      <c r="D874" s="4">
        <f>82.67 * CHOOSE(CONTROL!$C$9, $C$13, 100%, $E$13) + CHOOSE(CONTROL!$C$28, 0, 0)</f>
        <v>82.67</v>
      </c>
      <c r="E874" s="4">
        <f>406.232711867079 * CHOOSE(CONTROL!$C$9, $C$13, 100%, $E$13) + CHOOSE(CONTROL!$C$28, 0, 0)</f>
        <v>406.23271186707899</v>
      </c>
    </row>
    <row r="875" spans="1:5" ht="15">
      <c r="A875" s="13">
        <v>68149</v>
      </c>
      <c r="B875" s="4">
        <f>57.5908 * CHOOSE(CONTROL!$C$9, $C$13, 100%, $E$13) + CHOOSE(CONTROL!$C$28, 0.013, 0)</f>
        <v>57.6038</v>
      </c>
      <c r="C875" s="4">
        <f>57.2275 * CHOOSE(CONTROL!$C$9, $C$13, 100%, $E$13) + CHOOSE(CONTROL!$C$28, 0.013, 0)</f>
        <v>57.240499999999997</v>
      </c>
      <c r="D875" s="4">
        <f>84.0035 * CHOOSE(CONTROL!$C$9, $C$13, 100%, $E$13) + CHOOSE(CONTROL!$C$28, 0, 0)</f>
        <v>84.003500000000003</v>
      </c>
      <c r="E875" s="4">
        <f>406.103502989259 * CHOOSE(CONTROL!$C$9, $C$13, 100%, $E$13) + CHOOSE(CONTROL!$C$28, 0, 0)</f>
        <v>406.10350298925903</v>
      </c>
    </row>
    <row r="876" spans="1:5" ht="15">
      <c r="A876" s="13">
        <v>68180</v>
      </c>
      <c r="B876" s="4">
        <f>58.9511 * CHOOSE(CONTROL!$C$9, $C$13, 100%, $E$13) + CHOOSE(CONTROL!$C$28, 0.013, 0)</f>
        <v>58.964099999999995</v>
      </c>
      <c r="C876" s="4">
        <f>58.5878 * CHOOSE(CONTROL!$C$9, $C$13, 100%, $E$13) + CHOOSE(CONTROL!$C$28, 0.013, 0)</f>
        <v>58.6008</v>
      </c>
      <c r="D876" s="4">
        <f>83.1229 * CHOOSE(CONTROL!$C$9, $C$13, 100%, $E$13) + CHOOSE(CONTROL!$C$28, 0, 0)</f>
        <v>83.122900000000001</v>
      </c>
      <c r="E876" s="4">
        <f>415.826471045238 * CHOOSE(CONTROL!$C$9, $C$13, 100%, $E$13) + CHOOSE(CONTROL!$C$28, 0, 0)</f>
        <v>415.82647104523801</v>
      </c>
    </row>
    <row r="877" spans="1:5" ht="15">
      <c r="A877" s="13">
        <v>68210</v>
      </c>
      <c r="B877" s="4">
        <f>56.6327 * CHOOSE(CONTROL!$C$9, $C$13, 100%, $E$13) + CHOOSE(CONTROL!$C$28, 0.013, 0)</f>
        <v>56.645699999999998</v>
      </c>
      <c r="C877" s="4">
        <f>56.2694 * CHOOSE(CONTROL!$C$9, $C$13, 100%, $E$13) + CHOOSE(CONTROL!$C$28, 0.013, 0)</f>
        <v>56.282399999999996</v>
      </c>
      <c r="D877" s="4">
        <f>82.7068 * CHOOSE(CONTROL!$C$9, $C$13, 100%, $E$13) + CHOOSE(CONTROL!$C$28, 0, 0)</f>
        <v>82.706800000000001</v>
      </c>
      <c r="E877" s="4">
        <f>399.255432464782 * CHOOSE(CONTROL!$C$9, $C$13, 100%, $E$13) + CHOOSE(CONTROL!$C$28, 0, 0)</f>
        <v>399.25543246478202</v>
      </c>
    </row>
    <row r="878" spans="1:5" ht="15">
      <c r="A878" s="13">
        <v>68241</v>
      </c>
      <c r="B878" s="4">
        <f>54.7767 * CHOOSE(CONTROL!$C$9, $C$13, 100%, $E$13) + CHOOSE(CONTROL!$C$28, 0.0003, 0)</f>
        <v>54.777000000000001</v>
      </c>
      <c r="C878" s="4">
        <f>54.4134 * CHOOSE(CONTROL!$C$9, $C$13, 100%, $E$13) + CHOOSE(CONTROL!$C$28, 0.0003, 0)</f>
        <v>54.413700000000006</v>
      </c>
      <c r="D878" s="4">
        <f>81.5927 * CHOOSE(CONTROL!$C$9, $C$13, 100%, $E$13) + CHOOSE(CONTROL!$C$28, 0, 0)</f>
        <v>81.592699999999994</v>
      </c>
      <c r="E878" s="4">
        <f>385.989987675229 * CHOOSE(CONTROL!$C$9, $C$13, 100%, $E$13) + CHOOSE(CONTROL!$C$28, 0, 0)</f>
        <v>385.98998767522897</v>
      </c>
    </row>
    <row r="879" spans="1:5" ht="15">
      <c r="A879" s="13">
        <v>68271</v>
      </c>
      <c r="B879" s="4">
        <f>53.5813 * CHOOSE(CONTROL!$C$9, $C$13, 100%, $E$13) + CHOOSE(CONTROL!$C$28, 0.0003, 0)</f>
        <v>53.581600000000002</v>
      </c>
      <c r="C879" s="4">
        <f>53.2181 * CHOOSE(CONTROL!$C$9, $C$13, 100%, $E$13) + CHOOSE(CONTROL!$C$28, 0.0003, 0)</f>
        <v>53.218400000000003</v>
      </c>
      <c r="D879" s="4">
        <f>81.2097 * CHOOSE(CONTROL!$C$9, $C$13, 100%, $E$13) + CHOOSE(CONTROL!$C$28, 0, 0)</f>
        <v>81.209699999999998</v>
      </c>
      <c r="E879" s="4">
        <f>377.446050629361 * CHOOSE(CONTROL!$C$9, $C$13, 100%, $E$13) + CHOOSE(CONTROL!$C$28, 0, 0)</f>
        <v>377.44605062936103</v>
      </c>
    </row>
    <row r="880" spans="1:5" ht="15">
      <c r="A880" s="13">
        <v>68302</v>
      </c>
      <c r="B880" s="4">
        <f>52.7543 * CHOOSE(CONTROL!$C$9, $C$13, 100%, $E$13) + CHOOSE(CONTROL!$C$28, 0.0003, 0)</f>
        <v>52.754600000000003</v>
      </c>
      <c r="C880" s="4">
        <f>52.391 * CHOOSE(CONTROL!$C$9, $C$13, 100%, $E$13) + CHOOSE(CONTROL!$C$28, 0.0003, 0)</f>
        <v>52.391300000000001</v>
      </c>
      <c r="D880" s="4">
        <f>78.3898 * CHOOSE(CONTROL!$C$9, $C$13, 100%, $E$13) + CHOOSE(CONTROL!$C$28, 0, 0)</f>
        <v>78.389799999999994</v>
      </c>
      <c r="E880" s="4">
        <f>371.534744469081 * CHOOSE(CONTROL!$C$9, $C$13, 100%, $E$13) + CHOOSE(CONTROL!$C$28, 0, 0)</f>
        <v>371.53474446908098</v>
      </c>
    </row>
    <row r="881" spans="1:5" ht="15">
      <c r="A881" s="13">
        <v>68333</v>
      </c>
      <c r="B881" s="4">
        <f>50.4915 * CHOOSE(CONTROL!$C$9, $C$13, 100%, $E$13) + CHOOSE(CONTROL!$C$28, 0.0003, 0)</f>
        <v>50.491800000000005</v>
      </c>
      <c r="C881" s="4">
        <f>50.1282 * CHOOSE(CONTROL!$C$9, $C$13, 100%, $E$13) + CHOOSE(CONTROL!$C$28, 0.0003, 0)</f>
        <v>50.128500000000003</v>
      </c>
      <c r="D881" s="4">
        <f>75.2835 * CHOOSE(CONTROL!$C$9, $C$13, 100%, $E$13) + CHOOSE(CONTROL!$C$28, 0, 0)</f>
        <v>75.283500000000004</v>
      </c>
      <c r="E881" s="4">
        <f>356.058812663903 * CHOOSE(CONTROL!$C$9, $C$13, 100%, $E$13) + CHOOSE(CONTROL!$C$28, 0, 0)</f>
        <v>356.05881266390298</v>
      </c>
    </row>
    <row r="882" spans="1:5" ht="15">
      <c r="A882" s="13">
        <v>68361</v>
      </c>
      <c r="B882" s="4">
        <f>51.672 * CHOOSE(CONTROL!$C$9, $C$13, 100%, $E$13) + CHOOSE(CONTROL!$C$28, 0.0003, 0)</f>
        <v>51.6723</v>
      </c>
      <c r="C882" s="4">
        <f>51.3088 * CHOOSE(CONTROL!$C$9, $C$13, 100%, $E$13) + CHOOSE(CONTROL!$C$28, 0.0003, 0)</f>
        <v>51.309100000000001</v>
      </c>
      <c r="D882" s="4">
        <f>77.8752 * CHOOSE(CONTROL!$C$9, $C$13, 100%, $E$13) + CHOOSE(CONTROL!$C$28, 0, 0)</f>
        <v>77.875200000000007</v>
      </c>
      <c r="E882" s="4">
        <f>364.513052072081 * CHOOSE(CONTROL!$C$9, $C$13, 100%, $E$13) + CHOOSE(CONTROL!$C$28, 0, 0)</f>
        <v>364.513052072081</v>
      </c>
    </row>
    <row r="883" spans="1:5" ht="15">
      <c r="A883" s="13">
        <v>68392</v>
      </c>
      <c r="B883" s="4">
        <f>54.7721 * CHOOSE(CONTROL!$C$9, $C$13, 100%, $E$13) + CHOOSE(CONTROL!$C$28, 0.0003, 0)</f>
        <v>54.772400000000005</v>
      </c>
      <c r="C883" s="4">
        <f>54.4088 * CHOOSE(CONTROL!$C$9, $C$13, 100%, $E$13) + CHOOSE(CONTROL!$C$28, 0.0003, 0)</f>
        <v>54.409100000000002</v>
      </c>
      <c r="D883" s="4">
        <f>81.9323 * CHOOSE(CONTROL!$C$9, $C$13, 100%, $E$13) + CHOOSE(CONTROL!$C$28, 0, 0)</f>
        <v>81.932299999999998</v>
      </c>
      <c r="E883" s="4">
        <f>386.714334043522 * CHOOSE(CONTROL!$C$9, $C$13, 100%, $E$13) + CHOOSE(CONTROL!$C$28, 0, 0)</f>
        <v>386.714334043522</v>
      </c>
    </row>
    <row r="884" spans="1:5" ht="15">
      <c r="A884" s="13">
        <v>68422</v>
      </c>
      <c r="B884" s="4">
        <f>56.9747 * CHOOSE(CONTROL!$C$9, $C$13, 100%, $E$13) + CHOOSE(CONTROL!$C$28, 0.0003, 0)</f>
        <v>56.975000000000001</v>
      </c>
      <c r="C884" s="4">
        <f>56.6115 * CHOOSE(CONTROL!$C$9, $C$13, 100%, $E$13) + CHOOSE(CONTROL!$C$28, 0.0003, 0)</f>
        <v>56.611800000000002</v>
      </c>
      <c r="D884" s="4">
        <f>84.2693 * CHOOSE(CONTROL!$C$9, $C$13, 100%, $E$13) + CHOOSE(CONTROL!$C$28, 0, 0)</f>
        <v>84.269300000000001</v>
      </c>
      <c r="E884" s="4">
        <f>402.488640755215 * CHOOSE(CONTROL!$C$9, $C$13, 100%, $E$13) + CHOOSE(CONTROL!$C$28, 0, 0)</f>
        <v>402.48864075521499</v>
      </c>
    </row>
    <row r="885" spans="1:5" ht="15">
      <c r="A885" s="13">
        <v>68453</v>
      </c>
      <c r="B885" s="4">
        <f>58.3205 * CHOOSE(CONTROL!$C$9, $C$13, 100%, $E$13) + CHOOSE(CONTROL!$C$28, 0.013, 0)</f>
        <v>58.333500000000001</v>
      </c>
      <c r="C885" s="4">
        <f>57.9572 * CHOOSE(CONTROL!$C$9, $C$13, 100%, $E$13) + CHOOSE(CONTROL!$C$28, 0.013, 0)</f>
        <v>57.970199999999998</v>
      </c>
      <c r="D885" s="4">
        <f>83.3458 * CHOOSE(CONTROL!$C$9, $C$13, 100%, $E$13) + CHOOSE(CONTROL!$C$28, 0, 0)</f>
        <v>83.345799999999997</v>
      </c>
      <c r="E885" s="4">
        <f>412.126364098692 * CHOOSE(CONTROL!$C$9, $C$13, 100%, $E$13) + CHOOSE(CONTROL!$C$28, 0, 0)</f>
        <v>412.12636409869202</v>
      </c>
    </row>
    <row r="886" spans="1:5" ht="15">
      <c r="A886" s="13">
        <v>68483</v>
      </c>
      <c r="B886" s="4">
        <f>58.5026 * CHOOSE(CONTROL!$C$9, $C$13, 100%, $E$13) + CHOOSE(CONTROL!$C$28, 0.013, 0)</f>
        <v>58.515599999999999</v>
      </c>
      <c r="C886" s="4">
        <f>58.1393 * CHOOSE(CONTROL!$C$9, $C$13, 100%, $E$13) + CHOOSE(CONTROL!$C$28, 0.013, 0)</f>
        <v>58.152299999999997</v>
      </c>
      <c r="D886" s="4">
        <f>84.0979 * CHOOSE(CONTROL!$C$9, $C$13, 100%, $E$13) + CHOOSE(CONTROL!$C$28, 0, 0)</f>
        <v>84.097899999999996</v>
      </c>
      <c r="E886" s="4">
        <f>413.430388064438 * CHOOSE(CONTROL!$C$9, $C$13, 100%, $E$13) + CHOOSE(CONTROL!$C$28, 0, 0)</f>
        <v>413.43038806443798</v>
      </c>
    </row>
    <row r="887" spans="1:5" ht="15">
      <c r="A887" s="13">
        <v>68514</v>
      </c>
      <c r="B887" s="4">
        <f>58.4842 * CHOOSE(CONTROL!$C$9, $C$13, 100%, $E$13) + CHOOSE(CONTROL!$C$28, 0.013, 0)</f>
        <v>58.497199999999999</v>
      </c>
      <c r="C887" s="4">
        <f>58.1209 * CHOOSE(CONTROL!$C$9, $C$13, 100%, $E$13) + CHOOSE(CONTROL!$C$28, 0.013, 0)</f>
        <v>58.133899999999997</v>
      </c>
      <c r="D887" s="4">
        <f>85.455 * CHOOSE(CONTROL!$C$9, $C$13, 100%, $E$13) + CHOOSE(CONTROL!$C$28, 0, 0)</f>
        <v>85.454999999999998</v>
      </c>
      <c r="E887" s="4">
        <f>413.298889849404 * CHOOSE(CONTROL!$C$9, $C$13, 100%, $E$13) + CHOOSE(CONTROL!$C$28, 0, 0)</f>
        <v>413.29888984940402</v>
      </c>
    </row>
    <row r="888" spans="1:5" ht="15">
      <c r="A888" s="13">
        <v>68545</v>
      </c>
      <c r="B888" s="4">
        <f>59.8659 * CHOOSE(CONTROL!$C$9, $C$13, 100%, $E$13) + CHOOSE(CONTROL!$C$28, 0.013, 0)</f>
        <v>59.878900000000002</v>
      </c>
      <c r="C888" s="4">
        <f>59.5027 * CHOOSE(CONTROL!$C$9, $C$13, 100%, $E$13) + CHOOSE(CONTROL!$C$28, 0.013, 0)</f>
        <v>59.515699999999995</v>
      </c>
      <c r="D888" s="4">
        <f>84.5588 * CHOOSE(CONTROL!$C$9, $C$13, 100%, $E$13) + CHOOSE(CONTROL!$C$28, 0, 0)</f>
        <v>84.558800000000005</v>
      </c>
      <c r="E888" s="4">
        <f>423.194130530654 * CHOOSE(CONTROL!$C$9, $C$13, 100%, $E$13) + CHOOSE(CONTROL!$C$28, 0, 0)</f>
        <v>423.19413053065398</v>
      </c>
    </row>
    <row r="889" spans="1:5" ht="15">
      <c r="A889" s="13">
        <v>68575</v>
      </c>
      <c r="B889" s="4">
        <f>57.511 * CHOOSE(CONTROL!$C$9, $C$13, 100%, $E$13) + CHOOSE(CONTROL!$C$28, 0.013, 0)</f>
        <v>57.524000000000001</v>
      </c>
      <c r="C889" s="4">
        <f>57.1478 * CHOOSE(CONTROL!$C$9, $C$13, 100%, $E$13) + CHOOSE(CONTROL!$C$28, 0.013, 0)</f>
        <v>57.160799999999995</v>
      </c>
      <c r="D889" s="4">
        <f>84.1354 * CHOOSE(CONTROL!$C$9, $C$13, 100%, $E$13) + CHOOSE(CONTROL!$C$28, 0, 0)</f>
        <v>84.135400000000004</v>
      </c>
      <c r="E889" s="4">
        <f>406.329484452644 * CHOOSE(CONTROL!$C$9, $C$13, 100%, $E$13) + CHOOSE(CONTROL!$C$28, 0, 0)</f>
        <v>406.32948445264401</v>
      </c>
    </row>
    <row r="890" spans="1:5" ht="15">
      <c r="A890" s="13">
        <v>68606</v>
      </c>
      <c r="B890" s="4">
        <f>55.6259 * CHOOSE(CONTROL!$C$9, $C$13, 100%, $E$13) + CHOOSE(CONTROL!$C$28, 0.0003, 0)</f>
        <v>55.626200000000004</v>
      </c>
      <c r="C890" s="4">
        <f>55.2626 * CHOOSE(CONTROL!$C$9, $C$13, 100%, $E$13) + CHOOSE(CONTROL!$C$28, 0.0003, 0)</f>
        <v>55.262900000000002</v>
      </c>
      <c r="D890" s="4">
        <f>83.0016 * CHOOSE(CONTROL!$C$9, $C$13, 100%, $E$13) + CHOOSE(CONTROL!$C$28, 0, 0)</f>
        <v>83.001599999999996</v>
      </c>
      <c r="E890" s="4">
        <f>392.829001042567 * CHOOSE(CONTROL!$C$9, $C$13, 100%, $E$13) + CHOOSE(CONTROL!$C$28, 0, 0)</f>
        <v>392.82900104256697</v>
      </c>
    </row>
    <row r="891" spans="1:5" ht="15">
      <c r="A891" s="13">
        <v>68636</v>
      </c>
      <c r="B891" s="4">
        <f>54.4117 * CHOOSE(CONTROL!$C$9, $C$13, 100%, $E$13) + CHOOSE(CONTROL!$C$28, 0.0003, 0)</f>
        <v>54.412000000000006</v>
      </c>
      <c r="C891" s="4">
        <f>54.0485 * CHOOSE(CONTROL!$C$9, $C$13, 100%, $E$13) + CHOOSE(CONTROL!$C$28, 0.0003, 0)</f>
        <v>54.0488</v>
      </c>
      <c r="D891" s="4">
        <f>82.6118 * CHOOSE(CONTROL!$C$9, $C$13, 100%, $E$13) + CHOOSE(CONTROL!$C$28, 0, 0)</f>
        <v>82.611800000000002</v>
      </c>
      <c r="E891" s="4">
        <f>384.133681573495 * CHOOSE(CONTROL!$C$9, $C$13, 100%, $E$13) + CHOOSE(CONTROL!$C$28, 0, 0)</f>
        <v>384.13368157349498</v>
      </c>
    </row>
    <row r="892" spans="1:5" ht="15">
      <c r="A892" s="13">
        <v>68667</v>
      </c>
      <c r="B892" s="4">
        <f>53.5717 * CHOOSE(CONTROL!$C$9, $C$13, 100%, $E$13) + CHOOSE(CONTROL!$C$28, 0.0003, 0)</f>
        <v>53.572000000000003</v>
      </c>
      <c r="C892" s="4">
        <f>53.2084 * CHOOSE(CONTROL!$C$9, $C$13, 100%, $E$13) + CHOOSE(CONTROL!$C$28, 0.0003, 0)</f>
        <v>53.2087</v>
      </c>
      <c r="D892" s="4">
        <f>79.7421 * CHOOSE(CONTROL!$C$9, $C$13, 100%, $E$13) + CHOOSE(CONTROL!$C$28, 0, 0)</f>
        <v>79.742099999999994</v>
      </c>
      <c r="E892" s="4">
        <f>378.117638235726 * CHOOSE(CONTROL!$C$9, $C$13, 100%, $E$13) + CHOOSE(CONTROL!$C$28, 0, 0)</f>
        <v>378.11763823572602</v>
      </c>
    </row>
    <row r="893" spans="1:5" ht="15">
      <c r="A893" s="13">
        <v>68698</v>
      </c>
      <c r="B893" s="4">
        <f>51.2733 * CHOOSE(CONTROL!$C$9, $C$13, 100%, $E$13) + CHOOSE(CONTROL!$C$28, 0.0003, 0)</f>
        <v>51.273600000000002</v>
      </c>
      <c r="C893" s="4">
        <f>50.9101 * CHOOSE(CONTROL!$C$9, $C$13, 100%, $E$13) + CHOOSE(CONTROL!$C$28, 0.0003, 0)</f>
        <v>50.910400000000003</v>
      </c>
      <c r="D893" s="4">
        <f>76.5809 * CHOOSE(CONTROL!$C$9, $C$13, 100%, $E$13) + CHOOSE(CONTROL!$C$28, 0, 0)</f>
        <v>76.5809</v>
      </c>
      <c r="E893" s="4">
        <f>362.36750215617 * CHOOSE(CONTROL!$C$9, $C$13, 100%, $E$13) + CHOOSE(CONTROL!$C$28, 0, 0)</f>
        <v>362.36750215617002</v>
      </c>
    </row>
    <row r="894" spans="1:5" ht="15">
      <c r="A894" s="13">
        <v>68727</v>
      </c>
      <c r="B894" s="4">
        <f>52.4724 * CHOOSE(CONTROL!$C$9, $C$13, 100%, $E$13) + CHOOSE(CONTROL!$C$28, 0.0003, 0)</f>
        <v>52.472700000000003</v>
      </c>
      <c r="C894" s="4">
        <f>52.1091 * CHOOSE(CONTROL!$C$9, $C$13, 100%, $E$13) + CHOOSE(CONTROL!$C$28, 0.0003, 0)</f>
        <v>52.109400000000001</v>
      </c>
      <c r="D894" s="4">
        <f>79.2184 * CHOOSE(CONTROL!$C$9, $C$13, 100%, $E$13) + CHOOSE(CONTROL!$C$28, 0, 0)</f>
        <v>79.218400000000003</v>
      </c>
      <c r="E894" s="4">
        <f>370.971534714867 * CHOOSE(CONTROL!$C$9, $C$13, 100%, $E$13) + CHOOSE(CONTROL!$C$28, 0, 0)</f>
        <v>370.971534714867</v>
      </c>
    </row>
    <row r="895" spans="1:5" ht="15">
      <c r="A895" s="13">
        <v>68758</v>
      </c>
      <c r="B895" s="4">
        <f>55.6212 * CHOOSE(CONTROL!$C$9, $C$13, 100%, $E$13) + CHOOSE(CONTROL!$C$28, 0.0003, 0)</f>
        <v>55.621500000000005</v>
      </c>
      <c r="C895" s="4">
        <f>55.2579 * CHOOSE(CONTROL!$C$9, $C$13, 100%, $E$13) + CHOOSE(CONTROL!$C$28, 0.0003, 0)</f>
        <v>55.258200000000002</v>
      </c>
      <c r="D895" s="4">
        <f>83.3472 * CHOOSE(CONTROL!$C$9, $C$13, 100%, $E$13) + CHOOSE(CONTROL!$C$28, 0, 0)</f>
        <v>83.347200000000001</v>
      </c>
      <c r="E895" s="4">
        <f>393.566181460067 * CHOOSE(CONTROL!$C$9, $C$13, 100%, $E$13) + CHOOSE(CONTROL!$C$28, 0, 0)</f>
        <v>393.56618146006701</v>
      </c>
    </row>
    <row r="896" spans="1:5" ht="15">
      <c r="A896" s="13">
        <v>68788</v>
      </c>
      <c r="B896" s="4">
        <f>57.8585 * CHOOSE(CONTROL!$C$9, $C$13, 100%, $E$13) + CHOOSE(CONTROL!$C$28, 0.0003, 0)</f>
        <v>57.858800000000002</v>
      </c>
      <c r="C896" s="4">
        <f>57.4952 * CHOOSE(CONTROL!$C$9, $C$13, 100%, $E$13) + CHOOSE(CONTROL!$C$28, 0.0003, 0)</f>
        <v>57.4955</v>
      </c>
      <c r="D896" s="4">
        <f>85.7255 * CHOOSE(CONTROL!$C$9, $C$13, 100%, $E$13) + CHOOSE(CONTROL!$C$28, 0, 0)</f>
        <v>85.725499999999997</v>
      </c>
      <c r="E896" s="4">
        <f>409.61997908579 * CHOOSE(CONTROL!$C$9, $C$13, 100%, $E$13) + CHOOSE(CONTROL!$C$28, 0, 0)</f>
        <v>409.61997908579002</v>
      </c>
    </row>
    <row r="897" spans="1:5" ht="15">
      <c r="A897" s="13">
        <v>68819</v>
      </c>
      <c r="B897" s="4">
        <f>59.2254 * CHOOSE(CONTROL!$C$9, $C$13, 100%, $E$13) + CHOOSE(CONTROL!$C$28, 0.013, 0)</f>
        <v>59.238399999999999</v>
      </c>
      <c r="C897" s="4">
        <f>58.8621 * CHOOSE(CONTROL!$C$9, $C$13, 100%, $E$13) + CHOOSE(CONTROL!$C$28, 0.013, 0)</f>
        <v>58.875099999999996</v>
      </c>
      <c r="D897" s="4">
        <f>84.7857 * CHOOSE(CONTROL!$C$9, $C$13, 100%, $E$13) + CHOOSE(CONTROL!$C$28, 0, 0)</f>
        <v>84.785700000000006</v>
      </c>
      <c r="E897" s="4">
        <f>419.428464679276 * CHOOSE(CONTROL!$C$9, $C$13, 100%, $E$13) + CHOOSE(CONTROL!$C$28, 0, 0)</f>
        <v>419.42846467927598</v>
      </c>
    </row>
    <row r="898" spans="1:5" ht="15">
      <c r="A898" s="13">
        <v>68849</v>
      </c>
      <c r="B898" s="4">
        <f>59.4104 * CHOOSE(CONTROL!$C$9, $C$13, 100%, $E$13) + CHOOSE(CONTROL!$C$28, 0.013, 0)</f>
        <v>59.423400000000001</v>
      </c>
      <c r="C898" s="4">
        <f>59.0471 * CHOOSE(CONTROL!$C$9, $C$13, 100%, $E$13) + CHOOSE(CONTROL!$C$28, 0.013, 0)</f>
        <v>59.060099999999998</v>
      </c>
      <c r="D898" s="4">
        <f>85.5511 * CHOOSE(CONTROL!$C$9, $C$13, 100%, $E$13) + CHOOSE(CONTROL!$C$28, 0, 0)</f>
        <v>85.551100000000005</v>
      </c>
      <c r="E898" s="4">
        <f>420.755593486126 * CHOOSE(CONTROL!$C$9, $C$13, 100%, $E$13) + CHOOSE(CONTROL!$C$28, 0, 0)</f>
        <v>420.75559348612597</v>
      </c>
    </row>
    <row r="899" spans="1:5" ht="15">
      <c r="A899" s="13">
        <v>68880</v>
      </c>
      <c r="B899" s="4">
        <f>59.3917 * CHOOSE(CONTROL!$C$9, $C$13, 100%, $E$13) + CHOOSE(CONTROL!$C$28, 0.013, 0)</f>
        <v>59.404699999999998</v>
      </c>
      <c r="C899" s="4">
        <f>59.0284 * CHOOSE(CONTROL!$C$9, $C$13, 100%, $E$13) + CHOOSE(CONTROL!$C$28, 0.013, 0)</f>
        <v>59.041399999999996</v>
      </c>
      <c r="D899" s="4">
        <f>86.9321 * CHOOSE(CONTROL!$C$9, $C$13, 100%, $E$13) + CHOOSE(CONTROL!$C$28, 0, 0)</f>
        <v>86.932100000000005</v>
      </c>
      <c r="E899" s="4">
        <f>420.62176537115 * CHOOSE(CONTROL!$C$9, $C$13, 100%, $E$13) + CHOOSE(CONTROL!$C$28, 0, 0)</f>
        <v>420.62176537114999</v>
      </c>
    </row>
    <row r="900" spans="1:5" ht="15">
      <c r="A900" s="13">
        <v>68911</v>
      </c>
      <c r="B900" s="4">
        <f>60.7952 * CHOOSE(CONTROL!$C$9, $C$13, 100%, $E$13) + CHOOSE(CONTROL!$C$28, 0.013, 0)</f>
        <v>60.808199999999999</v>
      </c>
      <c r="C900" s="4">
        <f>60.4319 * CHOOSE(CONTROL!$C$9, $C$13, 100%, $E$13) + CHOOSE(CONTROL!$C$28, 0.013, 0)</f>
        <v>60.444899999999997</v>
      </c>
      <c r="D900" s="4">
        <f>86.0201 * CHOOSE(CONTROL!$C$9, $C$13, 100%, $E$13) + CHOOSE(CONTROL!$C$28, 0, 0)</f>
        <v>86.020099999999999</v>
      </c>
      <c r="E900" s="4">
        <f>430.692331023132 * CHOOSE(CONTROL!$C$9, $C$13, 100%, $E$13) + CHOOSE(CONTROL!$C$28, 0, 0)</f>
        <v>430.692331023132</v>
      </c>
    </row>
    <row r="901" spans="1:5" ht="15">
      <c r="A901" s="13">
        <v>68941</v>
      </c>
      <c r="B901" s="4">
        <f>58.4032 * CHOOSE(CONTROL!$C$9, $C$13, 100%, $E$13) + CHOOSE(CONTROL!$C$28, 0.013, 0)</f>
        <v>58.416199999999996</v>
      </c>
      <c r="C901" s="4">
        <f>58.04 * CHOOSE(CONTROL!$C$9, $C$13, 100%, $E$13) + CHOOSE(CONTROL!$C$28, 0.013, 0)</f>
        <v>58.052999999999997</v>
      </c>
      <c r="D901" s="4">
        <f>85.5892 * CHOOSE(CONTROL!$C$9, $C$13, 100%, $E$13) + CHOOSE(CONTROL!$C$28, 0, 0)</f>
        <v>85.589200000000005</v>
      </c>
      <c r="E901" s="4">
        <f>413.528875277395 * CHOOSE(CONTROL!$C$9, $C$13, 100%, $E$13) + CHOOSE(CONTROL!$C$28, 0, 0)</f>
        <v>413.528875277395</v>
      </c>
    </row>
    <row r="902" spans="1:5" ht="15">
      <c r="A902" s="13">
        <v>68972</v>
      </c>
      <c r="B902" s="4">
        <f>56.4885 * CHOOSE(CONTROL!$C$9, $C$13, 100%, $E$13) + CHOOSE(CONTROL!$C$28, 0.0003, 0)</f>
        <v>56.488800000000005</v>
      </c>
      <c r="C902" s="4">
        <f>56.1252 * CHOOSE(CONTROL!$C$9, $C$13, 100%, $E$13) + CHOOSE(CONTROL!$C$28, 0.0003, 0)</f>
        <v>56.125500000000002</v>
      </c>
      <c r="D902" s="4">
        <f>84.4354 * CHOOSE(CONTROL!$C$9, $C$13, 100%, $E$13) + CHOOSE(CONTROL!$C$28, 0, 0)</f>
        <v>84.435400000000001</v>
      </c>
      <c r="E902" s="4">
        <f>399.789188806474 * CHOOSE(CONTROL!$C$9, $C$13, 100%, $E$13) + CHOOSE(CONTROL!$C$28, 0, 0)</f>
        <v>399.78918880647399</v>
      </c>
    </row>
    <row r="903" spans="1:5" ht="15">
      <c r="A903" s="13">
        <v>69002</v>
      </c>
      <c r="B903" s="4">
        <f>55.2552 * CHOOSE(CONTROL!$C$9, $C$13, 100%, $E$13) + CHOOSE(CONTROL!$C$28, 0.0003, 0)</f>
        <v>55.255500000000005</v>
      </c>
      <c r="C903" s="4">
        <f>54.8919 * CHOOSE(CONTROL!$C$9, $C$13, 100%, $E$13) + CHOOSE(CONTROL!$C$28, 0.0003, 0)</f>
        <v>54.892200000000003</v>
      </c>
      <c r="D903" s="4">
        <f>84.0387 * CHOOSE(CONTROL!$C$9, $C$13, 100%, $E$13) + CHOOSE(CONTROL!$C$28, 0, 0)</f>
        <v>84.038700000000006</v>
      </c>
      <c r="E903" s="4">
        <f>390.939804703653 * CHOOSE(CONTROL!$C$9, $C$13, 100%, $E$13) + CHOOSE(CONTROL!$C$28, 0, 0)</f>
        <v>390.93980470365301</v>
      </c>
    </row>
    <row r="904" spans="1:5" ht="15">
      <c r="A904" s="13">
        <v>69033</v>
      </c>
      <c r="B904" s="4">
        <f>54.402 * CHOOSE(CONTROL!$C$9, $C$13, 100%, $E$13) + CHOOSE(CONTROL!$C$28, 0.0003, 0)</f>
        <v>54.402300000000004</v>
      </c>
      <c r="C904" s="4">
        <f>54.0387 * CHOOSE(CONTROL!$C$9, $C$13, 100%, $E$13) + CHOOSE(CONTROL!$C$28, 0.0003, 0)</f>
        <v>54.039000000000001</v>
      </c>
      <c r="D904" s="4">
        <f>81.1183 * CHOOSE(CONTROL!$C$9, $C$13, 100%, $E$13) + CHOOSE(CONTROL!$C$28, 0, 0)</f>
        <v>81.118300000000005</v>
      </c>
      <c r="E904" s="4">
        <f>384.817168443478 * CHOOSE(CONTROL!$C$9, $C$13, 100%, $E$13) + CHOOSE(CONTROL!$C$28, 0, 0)</f>
        <v>384.81716844347801</v>
      </c>
    </row>
    <row r="905" spans="1:5" ht="15">
      <c r="A905" s="13">
        <v>69064</v>
      </c>
      <c r="B905" s="4">
        <f>52.0674 * CHOOSE(CONTROL!$C$9, $C$13, 100%, $E$13) + CHOOSE(CONTROL!$C$28, 0.0003, 0)</f>
        <v>52.067700000000002</v>
      </c>
      <c r="C905" s="4">
        <f>51.7042 * CHOOSE(CONTROL!$C$9, $C$13, 100%, $E$13) + CHOOSE(CONTROL!$C$28, 0.0003, 0)</f>
        <v>51.704500000000003</v>
      </c>
      <c r="D905" s="4">
        <f>77.9013 * CHOOSE(CONTROL!$C$9, $C$13, 100%, $E$13) + CHOOSE(CONTROL!$C$28, 0, 0)</f>
        <v>77.901300000000006</v>
      </c>
      <c r="E905" s="4">
        <f>368.78796970783 * CHOOSE(CONTROL!$C$9, $C$13, 100%, $E$13) + CHOOSE(CONTROL!$C$28, 0, 0)</f>
        <v>368.78796970782997</v>
      </c>
    </row>
    <row r="906" spans="1:5" ht="15">
      <c r="A906" s="13">
        <v>69092</v>
      </c>
      <c r="B906" s="4">
        <f>53.2854 * CHOOSE(CONTROL!$C$9, $C$13, 100%, $E$13) + CHOOSE(CONTROL!$C$28, 0.0003, 0)</f>
        <v>53.285700000000006</v>
      </c>
      <c r="C906" s="4">
        <f>52.9221 * CHOOSE(CONTROL!$C$9, $C$13, 100%, $E$13) + CHOOSE(CONTROL!$C$28, 0.0003, 0)</f>
        <v>52.922400000000003</v>
      </c>
      <c r="D906" s="4">
        <f>80.5853 * CHOOSE(CONTROL!$C$9, $C$13, 100%, $E$13) + CHOOSE(CONTROL!$C$28, 0, 0)</f>
        <v>80.585300000000004</v>
      </c>
      <c r="E906" s="4">
        <f>377.544449468686 * CHOOSE(CONTROL!$C$9, $C$13, 100%, $E$13) + CHOOSE(CONTROL!$C$28, 0, 0)</f>
        <v>377.54444946868603</v>
      </c>
    </row>
    <row r="907" spans="1:5" ht="15">
      <c r="A907" s="13">
        <v>69123</v>
      </c>
      <c r="B907" s="4">
        <f>56.4837 * CHOOSE(CONTROL!$C$9, $C$13, 100%, $E$13) + CHOOSE(CONTROL!$C$28, 0.0003, 0)</f>
        <v>56.484000000000002</v>
      </c>
      <c r="C907" s="4">
        <f>56.1204 * CHOOSE(CONTROL!$C$9, $C$13, 100%, $E$13) + CHOOSE(CONTROL!$C$28, 0.0003, 0)</f>
        <v>56.120699999999999</v>
      </c>
      <c r="D907" s="4">
        <f>84.7871 * CHOOSE(CONTROL!$C$9, $C$13, 100%, $E$13) + CHOOSE(CONTROL!$C$28, 0, 0)</f>
        <v>84.787099999999995</v>
      </c>
      <c r="E907" s="4">
        <f>400.539430668287 * CHOOSE(CONTROL!$C$9, $C$13, 100%, $E$13) + CHOOSE(CONTROL!$C$28, 0, 0)</f>
        <v>400.53943066828703</v>
      </c>
    </row>
    <row r="908" spans="1:5" ht="15">
      <c r="A908" s="13">
        <v>69153</v>
      </c>
      <c r="B908" s="4">
        <f>58.7562 * CHOOSE(CONTROL!$C$9, $C$13, 100%, $E$13) + CHOOSE(CONTROL!$C$28, 0.0003, 0)</f>
        <v>58.756500000000003</v>
      </c>
      <c r="C908" s="4">
        <f>58.3929 * CHOOSE(CONTROL!$C$9, $C$13, 100%, $E$13) + CHOOSE(CONTROL!$C$28, 0.0003, 0)</f>
        <v>58.3932</v>
      </c>
      <c r="D908" s="4">
        <f>87.2074 * CHOOSE(CONTROL!$C$9, $C$13, 100%, $E$13) + CHOOSE(CONTROL!$C$28, 0, 0)</f>
        <v>87.207400000000007</v>
      </c>
      <c r="E908" s="4">
        <f>416.877671259022 * CHOOSE(CONTROL!$C$9, $C$13, 100%, $E$13) + CHOOSE(CONTROL!$C$28, 0, 0)</f>
        <v>416.87767125902201</v>
      </c>
    </row>
    <row r="909" spans="1:5" ht="15">
      <c r="A909" s="13">
        <v>69184</v>
      </c>
      <c r="B909" s="4">
        <f>60.1446 * CHOOSE(CONTROL!$C$9, $C$13, 100%, $E$13) + CHOOSE(CONTROL!$C$28, 0.013, 0)</f>
        <v>60.157599999999995</v>
      </c>
      <c r="C909" s="4">
        <f>59.7813 * CHOOSE(CONTROL!$C$9, $C$13, 100%, $E$13) + CHOOSE(CONTROL!$C$28, 0.013, 0)</f>
        <v>59.7943</v>
      </c>
      <c r="D909" s="4">
        <f>86.251 * CHOOSE(CONTROL!$C$9, $C$13, 100%, $E$13) + CHOOSE(CONTROL!$C$28, 0, 0)</f>
        <v>86.251000000000005</v>
      </c>
      <c r="E909" s="4">
        <f>426.859944686983 * CHOOSE(CONTROL!$C$9, $C$13, 100%, $E$13) + CHOOSE(CONTROL!$C$28, 0, 0)</f>
        <v>426.859944686983</v>
      </c>
    </row>
    <row r="910" spans="1:5" ht="15">
      <c r="A910" s="13">
        <v>69214</v>
      </c>
      <c r="B910" s="4">
        <f>60.3324 * CHOOSE(CONTROL!$C$9, $C$13, 100%, $E$13) + CHOOSE(CONTROL!$C$28, 0.013, 0)</f>
        <v>60.345399999999998</v>
      </c>
      <c r="C910" s="4">
        <f>59.9691 * CHOOSE(CONTROL!$C$9, $C$13, 100%, $E$13) + CHOOSE(CONTROL!$C$28, 0.013, 0)</f>
        <v>59.982099999999996</v>
      </c>
      <c r="D910" s="4">
        <f>87.0299 * CHOOSE(CONTROL!$C$9, $C$13, 100%, $E$13) + CHOOSE(CONTROL!$C$28, 0, 0)</f>
        <v>87.029899999999998</v>
      </c>
      <c r="E910" s="4">
        <f>428.210587709072 * CHOOSE(CONTROL!$C$9, $C$13, 100%, $E$13) + CHOOSE(CONTROL!$C$28, 0, 0)</f>
        <v>428.210587709072</v>
      </c>
    </row>
    <row r="911" spans="1:5" ht="15">
      <c r="A911" s="13">
        <v>69245</v>
      </c>
      <c r="B911" s="4">
        <f>60.3135 * CHOOSE(CONTROL!$C$9, $C$13, 100%, $E$13) + CHOOSE(CONTROL!$C$28, 0.013, 0)</f>
        <v>60.326499999999996</v>
      </c>
      <c r="C911" s="4">
        <f>59.9502 * CHOOSE(CONTROL!$C$9, $C$13, 100%, $E$13) + CHOOSE(CONTROL!$C$28, 0.013, 0)</f>
        <v>59.963200000000001</v>
      </c>
      <c r="D911" s="4">
        <f>88.4354 * CHOOSE(CONTROL!$C$9, $C$13, 100%, $E$13) + CHOOSE(CONTROL!$C$28, 0, 0)</f>
        <v>88.435400000000001</v>
      </c>
      <c r="E911" s="4">
        <f>428.074388412727 * CHOOSE(CONTROL!$C$9, $C$13, 100%, $E$13) + CHOOSE(CONTROL!$C$28, 0, 0)</f>
        <v>428.07438841272699</v>
      </c>
    </row>
    <row r="912" spans="1:5" ht="15">
      <c r="A912" s="13">
        <v>69276</v>
      </c>
      <c r="B912" s="4">
        <f>61.739 * CHOOSE(CONTROL!$C$9, $C$13, 100%, $E$13) + CHOOSE(CONTROL!$C$28, 0.013, 0)</f>
        <v>61.751999999999995</v>
      </c>
      <c r="C912" s="4">
        <f>61.3757 * CHOOSE(CONTROL!$C$9, $C$13, 100%, $E$13) + CHOOSE(CONTROL!$C$28, 0.013, 0)</f>
        <v>61.3887</v>
      </c>
      <c r="D912" s="4">
        <f>87.5072 * CHOOSE(CONTROL!$C$9, $C$13, 100%, $E$13) + CHOOSE(CONTROL!$C$28, 0, 0)</f>
        <v>87.507199999999997</v>
      </c>
      <c r="E912" s="4">
        <f>438.323385462697 * CHOOSE(CONTROL!$C$9, $C$13, 100%, $E$13) + CHOOSE(CONTROL!$C$28, 0, 0)</f>
        <v>438.32338546269699</v>
      </c>
    </row>
    <row r="913" spans="1:5" ht="15">
      <c r="A913" s="13">
        <v>69306</v>
      </c>
      <c r="B913" s="4">
        <f>59.3095 * CHOOSE(CONTROL!$C$9, $C$13, 100%, $E$13) + CHOOSE(CONTROL!$C$28, 0.013, 0)</f>
        <v>59.322499999999998</v>
      </c>
      <c r="C913" s="4">
        <f>58.9462 * CHOOSE(CONTROL!$C$9, $C$13, 100%, $E$13) + CHOOSE(CONTROL!$C$28, 0.013, 0)</f>
        <v>58.959199999999996</v>
      </c>
      <c r="D913" s="4">
        <f>87.0687 * CHOOSE(CONTROL!$C$9, $C$13, 100%, $E$13) + CHOOSE(CONTROL!$C$28, 0, 0)</f>
        <v>87.068700000000007</v>
      </c>
      <c r="E913" s="4">
        <f>420.855825706435 * CHOOSE(CONTROL!$C$9, $C$13, 100%, $E$13) + CHOOSE(CONTROL!$C$28, 0, 0)</f>
        <v>420.85582570643498</v>
      </c>
    </row>
    <row r="914" spans="1:5" ht="15">
      <c r="A914" s="13">
        <v>69337</v>
      </c>
      <c r="B914" s="4">
        <f>57.3646 * CHOOSE(CONTROL!$C$9, $C$13, 100%, $E$13) + CHOOSE(CONTROL!$C$28, 0.0003, 0)</f>
        <v>57.364900000000006</v>
      </c>
      <c r="C914" s="4">
        <f>57.0013 * CHOOSE(CONTROL!$C$9, $C$13, 100%, $E$13) + CHOOSE(CONTROL!$C$28, 0.0003, 0)</f>
        <v>57.001600000000003</v>
      </c>
      <c r="D914" s="4">
        <f>85.8945 * CHOOSE(CONTROL!$C$9, $C$13, 100%, $E$13) + CHOOSE(CONTROL!$C$28, 0, 0)</f>
        <v>85.894499999999994</v>
      </c>
      <c r="E914" s="4">
        <f>406.872697948336 * CHOOSE(CONTROL!$C$9, $C$13, 100%, $E$13) + CHOOSE(CONTROL!$C$28, 0, 0)</f>
        <v>406.872697948336</v>
      </c>
    </row>
    <row r="915" spans="1:5" ht="15">
      <c r="A915" s="13">
        <v>69367</v>
      </c>
      <c r="B915" s="4">
        <f>56.1119 * CHOOSE(CONTROL!$C$9, $C$13, 100%, $E$13) + CHOOSE(CONTROL!$C$28, 0.0003, 0)</f>
        <v>56.112200000000001</v>
      </c>
      <c r="C915" s="4">
        <f>55.7486 * CHOOSE(CONTROL!$C$9, $C$13, 100%, $E$13) + CHOOSE(CONTROL!$C$28, 0.0003, 0)</f>
        <v>55.748900000000006</v>
      </c>
      <c r="D915" s="4">
        <f>85.4908 * CHOOSE(CONTROL!$C$9, $C$13, 100%, $E$13) + CHOOSE(CONTROL!$C$28, 0, 0)</f>
        <v>85.490799999999993</v>
      </c>
      <c r="E915" s="4">
        <f>397.866519477514 * CHOOSE(CONTROL!$C$9, $C$13, 100%, $E$13) + CHOOSE(CONTROL!$C$28, 0, 0)</f>
        <v>397.86651947751398</v>
      </c>
    </row>
    <row r="916" spans="1:5" ht="15">
      <c r="A916" s="13">
        <v>69398</v>
      </c>
      <c r="B916" s="4">
        <f>55.2453 * CHOOSE(CONTROL!$C$9, $C$13, 100%, $E$13) + CHOOSE(CONTROL!$C$28, 0.0003, 0)</f>
        <v>55.245600000000003</v>
      </c>
      <c r="C916" s="4">
        <f>54.882 * CHOOSE(CONTROL!$C$9, $C$13, 100%, $E$13) + CHOOSE(CONTROL!$C$28, 0.0003, 0)</f>
        <v>54.882300000000001</v>
      </c>
      <c r="D916" s="4">
        <f>82.5188 * CHOOSE(CONTROL!$C$9, $C$13, 100%, $E$13) + CHOOSE(CONTROL!$C$28, 0, 0)</f>
        <v>82.518799999999999</v>
      </c>
      <c r="E916" s="4">
        <f>391.635401669725 * CHOOSE(CONTROL!$C$9, $C$13, 100%, $E$13) + CHOOSE(CONTROL!$C$28, 0, 0)</f>
        <v>391.63540166972501</v>
      </c>
    </row>
    <row r="917" spans="1:5" ht="15">
      <c r="A917" s="13">
        <v>69429</v>
      </c>
      <c r="B917" s="4">
        <f>52.874 * CHOOSE(CONTROL!$C$9, $C$13, 100%, $E$13) + CHOOSE(CONTROL!$C$28, 0.0003, 0)</f>
        <v>52.874300000000005</v>
      </c>
      <c r="C917" s="4">
        <f>52.5108 * CHOOSE(CONTROL!$C$9, $C$13, 100%, $E$13) + CHOOSE(CONTROL!$C$28, 0.0003, 0)</f>
        <v>52.511100000000006</v>
      </c>
      <c r="D917" s="4">
        <f>79.2449 * CHOOSE(CONTROL!$C$9, $C$13, 100%, $E$13) + CHOOSE(CONTROL!$C$28, 0, 0)</f>
        <v>79.244900000000001</v>
      </c>
      <c r="E917" s="4">
        <f>375.322195814926 * CHOOSE(CONTROL!$C$9, $C$13, 100%, $E$13) + CHOOSE(CONTROL!$C$28, 0, 0)</f>
        <v>375.32219581492598</v>
      </c>
    </row>
    <row r="918" spans="1:5" ht="15">
      <c r="A918" s="13">
        <v>69457</v>
      </c>
      <c r="B918" s="4">
        <f>54.1111 * CHOOSE(CONTROL!$C$9, $C$13, 100%, $E$13) + CHOOSE(CONTROL!$C$28, 0.0003, 0)</f>
        <v>54.111400000000003</v>
      </c>
      <c r="C918" s="4">
        <f>53.7478 * CHOOSE(CONTROL!$C$9, $C$13, 100%, $E$13) + CHOOSE(CONTROL!$C$28, 0.0003, 0)</f>
        <v>53.748100000000001</v>
      </c>
      <c r="D918" s="4">
        <f>81.9764 * CHOOSE(CONTROL!$C$9, $C$13, 100%, $E$13) + CHOOSE(CONTROL!$C$28, 0, 0)</f>
        <v>81.976399999999998</v>
      </c>
      <c r="E918" s="4">
        <f>384.233823854357 * CHOOSE(CONTROL!$C$9, $C$13, 100%, $E$13) + CHOOSE(CONTROL!$C$28, 0, 0)</f>
        <v>384.23382385435701</v>
      </c>
    </row>
    <row r="919" spans="1:5" ht="15">
      <c r="A919" s="13">
        <v>69488</v>
      </c>
      <c r="B919" s="4">
        <f>57.3597 * CHOOSE(CONTROL!$C$9, $C$13, 100%, $E$13) + CHOOSE(CONTROL!$C$28, 0.0003, 0)</f>
        <v>57.36</v>
      </c>
      <c r="C919" s="4">
        <f>56.9965 * CHOOSE(CONTROL!$C$9, $C$13, 100%, $E$13) + CHOOSE(CONTROL!$C$28, 0.0003, 0)</f>
        <v>56.9968</v>
      </c>
      <c r="D919" s="4">
        <f>86.2524 * CHOOSE(CONTROL!$C$9, $C$13, 100%, $E$13) + CHOOSE(CONTROL!$C$28, 0, 0)</f>
        <v>86.252399999999994</v>
      </c>
      <c r="E919" s="4">
        <f>407.63623267858 * CHOOSE(CONTROL!$C$9, $C$13, 100%, $E$13) + CHOOSE(CONTROL!$C$28, 0, 0)</f>
        <v>407.63623267857997</v>
      </c>
    </row>
    <row r="920" spans="1:5" ht="15">
      <c r="A920" s="13">
        <v>69518</v>
      </c>
      <c r="B920" s="4">
        <f>59.6679 * CHOOSE(CONTROL!$C$9, $C$13, 100%, $E$13) + CHOOSE(CONTROL!$C$28, 0.0003, 0)</f>
        <v>59.668200000000006</v>
      </c>
      <c r="C920" s="4">
        <f>59.3046 * CHOOSE(CONTROL!$C$9, $C$13, 100%, $E$13) + CHOOSE(CONTROL!$C$28, 0.0003, 0)</f>
        <v>59.304900000000004</v>
      </c>
      <c r="D920" s="4">
        <f>88.7155 * CHOOSE(CONTROL!$C$9, $C$13, 100%, $E$13) + CHOOSE(CONTROL!$C$28, 0, 0)</f>
        <v>88.715500000000006</v>
      </c>
      <c r="E920" s="4">
        <f>424.263956026293 * CHOOSE(CONTROL!$C$9, $C$13, 100%, $E$13) + CHOOSE(CONTROL!$C$28, 0, 0)</f>
        <v>424.26395602629299</v>
      </c>
    </row>
    <row r="921" spans="1:5" ht="15">
      <c r="A921" s="13">
        <v>69549</v>
      </c>
      <c r="B921" s="4">
        <f>61.0782 * CHOOSE(CONTROL!$C$9, $C$13, 100%, $E$13) + CHOOSE(CONTROL!$C$28, 0.013, 0)</f>
        <v>61.091200000000001</v>
      </c>
      <c r="C921" s="4">
        <f>60.7149 * CHOOSE(CONTROL!$C$9, $C$13, 100%, $E$13) + CHOOSE(CONTROL!$C$28, 0.013, 0)</f>
        <v>60.727899999999998</v>
      </c>
      <c r="D921" s="4">
        <f>87.7422 * CHOOSE(CONTROL!$C$9, $C$13, 100%, $E$13) + CHOOSE(CONTROL!$C$28, 0, 0)</f>
        <v>87.742199999999997</v>
      </c>
      <c r="E921" s="4">
        <f>434.423096480836 * CHOOSE(CONTROL!$C$9, $C$13, 100%, $E$13) + CHOOSE(CONTROL!$C$28, 0, 0)</f>
        <v>434.42309648083602</v>
      </c>
    </row>
    <row r="922" spans="1:5" ht="15">
      <c r="A922" s="13">
        <v>69579</v>
      </c>
      <c r="B922" s="4">
        <f>61.269 * CHOOSE(CONTROL!$C$9, $C$13, 100%, $E$13) + CHOOSE(CONTROL!$C$28, 0.013, 0)</f>
        <v>61.281999999999996</v>
      </c>
      <c r="C922" s="4">
        <f>60.9057 * CHOOSE(CONTROL!$C$9, $C$13, 100%, $E$13) + CHOOSE(CONTROL!$C$28, 0.013, 0)</f>
        <v>60.918700000000001</v>
      </c>
      <c r="D922" s="4">
        <f>88.5349 * CHOOSE(CONTROL!$C$9, $C$13, 100%, $E$13) + CHOOSE(CONTROL!$C$28, 0, 0)</f>
        <v>88.534899999999993</v>
      </c>
      <c r="E922" s="4">
        <f>435.797670345635 * CHOOSE(CONTROL!$C$9, $C$13, 100%, $E$13) + CHOOSE(CONTROL!$C$28, 0, 0)</f>
        <v>435.79767034563503</v>
      </c>
    </row>
    <row r="923" spans="1:5" ht="15">
      <c r="A923" s="13">
        <v>69610</v>
      </c>
      <c r="B923" s="4">
        <f>61.2497 * CHOOSE(CONTROL!$C$9, $C$13, 100%, $E$13) + CHOOSE(CONTROL!$C$28, 0.013, 0)</f>
        <v>61.262699999999995</v>
      </c>
      <c r="C923" s="4">
        <f>60.8865 * CHOOSE(CONTROL!$C$9, $C$13, 100%, $E$13) + CHOOSE(CONTROL!$C$28, 0.013, 0)</f>
        <v>60.899499999999996</v>
      </c>
      <c r="D923" s="4">
        <f>89.9651 * CHOOSE(CONTROL!$C$9, $C$13, 100%, $E$13) + CHOOSE(CONTROL!$C$28, 0, 0)</f>
        <v>89.965100000000007</v>
      </c>
      <c r="E923" s="4">
        <f>435.659057855067 * CHOOSE(CONTROL!$C$9, $C$13, 100%, $E$13) + CHOOSE(CONTROL!$C$28, 0, 0)</f>
        <v>435.65905785506698</v>
      </c>
    </row>
    <row r="924" spans="1:5" ht="15">
      <c r="A924" s="13">
        <v>69641</v>
      </c>
      <c r="B924" s="4">
        <f>62.6977 * CHOOSE(CONTROL!$C$9, $C$13, 100%, $E$13) + CHOOSE(CONTROL!$C$28, 0.013, 0)</f>
        <v>62.710699999999996</v>
      </c>
      <c r="C924" s="4">
        <f>62.3344 * CHOOSE(CONTROL!$C$9, $C$13, 100%, $E$13) + CHOOSE(CONTROL!$C$28, 0.013, 0)</f>
        <v>62.3474</v>
      </c>
      <c r="D924" s="4">
        <f>89.0206 * CHOOSE(CONTROL!$C$9, $C$13, 100%, $E$13) + CHOOSE(CONTROL!$C$28, 0, 0)</f>
        <v>89.020600000000002</v>
      </c>
      <c r="E924" s="4">
        <f>446.089647770305 * CHOOSE(CONTROL!$C$9, $C$13, 100%, $E$13) + CHOOSE(CONTROL!$C$28, 0, 0)</f>
        <v>446.08964777030502</v>
      </c>
    </row>
    <row r="925" spans="1:5" ht="15">
      <c r="A925" s="13">
        <v>69671</v>
      </c>
      <c r="B925" s="4">
        <f>60.2299 * CHOOSE(CONTROL!$C$9, $C$13, 100%, $E$13) + CHOOSE(CONTROL!$C$28, 0.013, 0)</f>
        <v>60.242899999999999</v>
      </c>
      <c r="C925" s="4">
        <f>59.8667 * CHOOSE(CONTROL!$C$9, $C$13, 100%, $E$13) + CHOOSE(CONTROL!$C$28, 0.013, 0)</f>
        <v>59.8797</v>
      </c>
      <c r="D925" s="4">
        <f>88.5743 * CHOOSE(CONTROL!$C$9, $C$13, 100%, $E$13) + CHOOSE(CONTROL!$C$28, 0, 0)</f>
        <v>88.574299999999994</v>
      </c>
      <c r="E925" s="4">
        <f>428.312595854966 * CHOOSE(CONTROL!$C$9, $C$13, 100%, $E$13) + CHOOSE(CONTROL!$C$28, 0, 0)</f>
        <v>428.31259585496599</v>
      </c>
    </row>
    <row r="926" spans="1:5" ht="15">
      <c r="A926" s="13">
        <v>69702</v>
      </c>
      <c r="B926" s="4">
        <f>58.2545 * CHOOSE(CONTROL!$C$9, $C$13, 100%, $E$13) + CHOOSE(CONTROL!$C$28, 0.0003, 0)</f>
        <v>58.254800000000003</v>
      </c>
      <c r="C926" s="4">
        <f>57.8912 * CHOOSE(CONTROL!$C$9, $C$13, 100%, $E$13) + CHOOSE(CONTROL!$C$28, 0.0003, 0)</f>
        <v>57.891500000000001</v>
      </c>
      <c r="D926" s="4">
        <f>87.3794 * CHOOSE(CONTROL!$C$9, $C$13, 100%, $E$13) + CHOOSE(CONTROL!$C$28, 0, 0)</f>
        <v>87.379400000000004</v>
      </c>
      <c r="E926" s="4">
        <f>414.081713489989 * CHOOSE(CONTROL!$C$9, $C$13, 100%, $E$13) + CHOOSE(CONTROL!$C$28, 0, 0)</f>
        <v>414.081713489989</v>
      </c>
    </row>
    <row r="927" spans="1:5" ht="15">
      <c r="A927" s="13">
        <v>69732</v>
      </c>
      <c r="B927" s="4">
        <f>56.9821 * CHOOSE(CONTROL!$C$9, $C$13, 100%, $E$13) + CHOOSE(CONTROL!$C$28, 0.0003, 0)</f>
        <v>56.982400000000005</v>
      </c>
      <c r="C927" s="4">
        <f>56.6188 * CHOOSE(CONTROL!$C$9, $C$13, 100%, $E$13) + CHOOSE(CONTROL!$C$28, 0.0003, 0)</f>
        <v>56.619100000000003</v>
      </c>
      <c r="D927" s="4">
        <f>86.9685 * CHOOSE(CONTROL!$C$9, $C$13, 100%, $E$13) + CHOOSE(CONTROL!$C$28, 0, 0)</f>
        <v>86.968500000000006</v>
      </c>
      <c r="E927" s="4">
        <f>404.915962551184 * CHOOSE(CONTROL!$C$9, $C$13, 100%, $E$13) + CHOOSE(CONTROL!$C$28, 0, 0)</f>
        <v>404.91596255118401</v>
      </c>
    </row>
    <row r="928" spans="1:5" ht="15">
      <c r="A928" s="13">
        <v>69763</v>
      </c>
      <c r="B928" s="4">
        <f>56.1018 * CHOOSE(CONTROL!$C$9, $C$13, 100%, $E$13) + CHOOSE(CONTROL!$C$28, 0.0003, 0)</f>
        <v>56.1021</v>
      </c>
      <c r="C928" s="4">
        <f>55.7385 * CHOOSE(CONTROL!$C$9, $C$13, 100%, $E$13) + CHOOSE(CONTROL!$C$28, 0.0003, 0)</f>
        <v>55.738800000000005</v>
      </c>
      <c r="D928" s="4">
        <f>83.944 * CHOOSE(CONTROL!$C$9, $C$13, 100%, $E$13) + CHOOSE(CONTROL!$C$28, 0, 0)</f>
        <v>83.944000000000003</v>
      </c>
      <c r="E928" s="4">
        <f>398.5744411077 * CHOOSE(CONTROL!$C$9, $C$13, 100%, $E$13) + CHOOSE(CONTROL!$C$28, 0, 0)</f>
        <v>398.57444110770001</v>
      </c>
    </row>
    <row r="929" spans="1:5" ht="15">
      <c r="A929" s="13">
        <v>69794</v>
      </c>
      <c r="B929" s="4">
        <f>53.6933 * CHOOSE(CONTROL!$C$9, $C$13, 100%, $E$13) + CHOOSE(CONTROL!$C$28, 0.0003, 0)</f>
        <v>53.693600000000004</v>
      </c>
      <c r="C929" s="4">
        <f>53.33 * CHOOSE(CONTROL!$C$9, $C$13, 100%, $E$13) + CHOOSE(CONTROL!$C$28, 0.0003, 0)</f>
        <v>53.330300000000001</v>
      </c>
      <c r="D929" s="4">
        <f>80.6123 * CHOOSE(CONTROL!$C$9, $C$13, 100%, $E$13) + CHOOSE(CONTROL!$C$28, 0, 0)</f>
        <v>80.612300000000005</v>
      </c>
      <c r="E929" s="4">
        <f>381.972196064146 * CHOOSE(CONTROL!$C$9, $C$13, 100%, $E$13) + CHOOSE(CONTROL!$C$28, 0, 0)</f>
        <v>381.97219606414598</v>
      </c>
    </row>
    <row r="930" spans="1:5" ht="15">
      <c r="A930" s="13">
        <v>69822</v>
      </c>
      <c r="B930" s="4">
        <f>54.9498 * CHOOSE(CONTROL!$C$9, $C$13, 100%, $E$13) + CHOOSE(CONTROL!$C$28, 0.0003, 0)</f>
        <v>54.950100000000006</v>
      </c>
      <c r="C930" s="4">
        <f>54.5866 * CHOOSE(CONTROL!$C$9, $C$13, 100%, $E$13) + CHOOSE(CONTROL!$C$28, 0.0003, 0)</f>
        <v>54.5869</v>
      </c>
      <c r="D930" s="4">
        <f>83.3921 * CHOOSE(CONTROL!$C$9, $C$13, 100%, $E$13) + CHOOSE(CONTROL!$C$28, 0, 0)</f>
        <v>83.392099999999999</v>
      </c>
      <c r="E930" s="4">
        <f>391.041721316543 * CHOOSE(CONTROL!$C$9, $C$13, 100%, $E$13) + CHOOSE(CONTROL!$C$28, 0, 0)</f>
        <v>391.04172131654298</v>
      </c>
    </row>
    <row r="931" spans="1:5" ht="15">
      <c r="A931" s="13">
        <v>69853</v>
      </c>
      <c r="B931" s="4">
        <f>58.2496 * CHOOSE(CONTROL!$C$9, $C$13, 100%, $E$13) + CHOOSE(CONTROL!$C$28, 0.0003, 0)</f>
        <v>58.249900000000004</v>
      </c>
      <c r="C931" s="4">
        <f>57.8863 * CHOOSE(CONTROL!$C$9, $C$13, 100%, $E$13) + CHOOSE(CONTROL!$C$28, 0.0003, 0)</f>
        <v>57.886600000000001</v>
      </c>
      <c r="D931" s="4">
        <f>87.7436 * CHOOSE(CONTROL!$C$9, $C$13, 100%, $E$13) + CHOOSE(CONTROL!$C$28, 0, 0)</f>
        <v>87.743600000000001</v>
      </c>
      <c r="E931" s="4">
        <f>414.858776613179 * CHOOSE(CONTROL!$C$9, $C$13, 100%, $E$13) + CHOOSE(CONTROL!$C$28, 0, 0)</f>
        <v>414.85877661317897</v>
      </c>
    </row>
    <row r="932" spans="1:5" ht="15">
      <c r="A932" s="13">
        <v>69883</v>
      </c>
      <c r="B932" s="4">
        <f>60.594 * CHOOSE(CONTROL!$C$9, $C$13, 100%, $E$13) + CHOOSE(CONTROL!$C$28, 0.0003, 0)</f>
        <v>60.594300000000004</v>
      </c>
      <c r="C932" s="4">
        <f>60.2308 * CHOOSE(CONTROL!$C$9, $C$13, 100%, $E$13) + CHOOSE(CONTROL!$C$28, 0.0003, 0)</f>
        <v>60.231100000000005</v>
      </c>
      <c r="D932" s="4">
        <f>90.2502 * CHOOSE(CONTROL!$C$9, $C$13, 100%, $E$13) + CHOOSE(CONTROL!$C$28, 0, 0)</f>
        <v>90.250200000000007</v>
      </c>
      <c r="E932" s="4">
        <f>431.781111805434 * CHOOSE(CONTROL!$C$9, $C$13, 100%, $E$13) + CHOOSE(CONTROL!$C$28, 0, 0)</f>
        <v>431.78111180543402</v>
      </c>
    </row>
    <row r="933" spans="1:5" ht="15">
      <c r="A933" s="13">
        <v>69914</v>
      </c>
      <c r="B933" s="4">
        <f>62.0265 * CHOOSE(CONTROL!$C$9, $C$13, 100%, $E$13) + CHOOSE(CONTROL!$C$28, 0.013, 0)</f>
        <v>62.039499999999997</v>
      </c>
      <c r="C933" s="4">
        <f>61.6632 * CHOOSE(CONTROL!$C$9, $C$13, 100%, $E$13) + CHOOSE(CONTROL!$C$28, 0.013, 0)</f>
        <v>61.676200000000001</v>
      </c>
      <c r="D933" s="4">
        <f>89.2597 * CHOOSE(CONTROL!$C$9, $C$13, 100%, $E$13) + CHOOSE(CONTROL!$C$28, 0, 0)</f>
        <v>89.259699999999995</v>
      </c>
      <c r="E933" s="4">
        <f>442.120253036131 * CHOOSE(CONTROL!$C$9, $C$13, 100%, $E$13) + CHOOSE(CONTROL!$C$28, 0, 0)</f>
        <v>442.12025303613098</v>
      </c>
    </row>
    <row r="934" spans="1:5" ht="15">
      <c r="A934" s="13">
        <v>69944</v>
      </c>
      <c r="B934" s="4">
        <f>62.2203 * CHOOSE(CONTROL!$C$9, $C$13, 100%, $E$13) + CHOOSE(CONTROL!$C$28, 0.013, 0)</f>
        <v>62.2333</v>
      </c>
      <c r="C934" s="4">
        <f>61.857 * CHOOSE(CONTROL!$C$9, $C$13, 100%, $E$13) + CHOOSE(CONTROL!$C$28, 0.013, 0)</f>
        <v>61.87</v>
      </c>
      <c r="D934" s="4">
        <f>90.0664 * CHOOSE(CONTROL!$C$9, $C$13, 100%, $E$13) + CHOOSE(CONTROL!$C$28, 0, 0)</f>
        <v>90.066400000000002</v>
      </c>
      <c r="E934" s="4">
        <f>443.519181752962 * CHOOSE(CONTROL!$C$9, $C$13, 100%, $E$13) + CHOOSE(CONTROL!$C$28, 0, 0)</f>
        <v>443.51918175296203</v>
      </c>
    </row>
    <row r="935" spans="1:5" ht="15">
      <c r="A935" s="13">
        <v>69975</v>
      </c>
      <c r="B935" s="4">
        <f>62.2007 * CHOOSE(CONTROL!$C$9, $C$13, 100%, $E$13) + CHOOSE(CONTROL!$C$28, 0.013, 0)</f>
        <v>62.213699999999996</v>
      </c>
      <c r="C935" s="4">
        <f>61.8374 * CHOOSE(CONTROL!$C$9, $C$13, 100%, $E$13) + CHOOSE(CONTROL!$C$28, 0.013, 0)</f>
        <v>61.8504</v>
      </c>
      <c r="D935" s="4">
        <f>91.522 * CHOOSE(CONTROL!$C$9, $C$13, 100%, $E$13) + CHOOSE(CONTROL!$C$28, 0, 0)</f>
        <v>91.522000000000006</v>
      </c>
      <c r="E935" s="4">
        <f>443.378113310928 * CHOOSE(CONTROL!$C$9, $C$13, 100%, $E$13) + CHOOSE(CONTROL!$C$28, 0, 0)</f>
        <v>443.37811331092797</v>
      </c>
    </row>
    <row r="936" spans="1:5" ht="15">
      <c r="A936" s="13">
        <v>70006</v>
      </c>
      <c r="B936" s="4">
        <f>63.6714 * CHOOSE(CONTROL!$C$9, $C$13, 100%, $E$13) + CHOOSE(CONTROL!$C$28, 0.013, 0)</f>
        <v>63.684399999999997</v>
      </c>
      <c r="C936" s="4">
        <f>63.3081 * CHOOSE(CONTROL!$C$9, $C$13, 100%, $E$13) + CHOOSE(CONTROL!$C$28, 0.013, 0)</f>
        <v>63.321100000000001</v>
      </c>
      <c r="D936" s="4">
        <f>90.5607 * CHOOSE(CONTROL!$C$9, $C$13, 100%, $E$13) + CHOOSE(CONTROL!$C$28, 0, 0)</f>
        <v>90.560699999999997</v>
      </c>
      <c r="E936" s="4">
        <f>453.993513573941 * CHOOSE(CONTROL!$C$9, $C$13, 100%, $E$13) + CHOOSE(CONTROL!$C$28, 0, 0)</f>
        <v>453.99351357394102</v>
      </c>
    </row>
    <row r="937" spans="1:5" ht="15">
      <c r="A937" s="13">
        <v>70036</v>
      </c>
      <c r="B937" s="4">
        <f>61.1649 * CHOOSE(CONTROL!$C$9, $C$13, 100%, $E$13) + CHOOSE(CONTROL!$C$28, 0.013, 0)</f>
        <v>61.177900000000001</v>
      </c>
      <c r="C937" s="4">
        <f>60.8016 * CHOOSE(CONTROL!$C$9, $C$13, 100%, $E$13) + CHOOSE(CONTROL!$C$28, 0.013, 0)</f>
        <v>60.814599999999999</v>
      </c>
      <c r="D937" s="4">
        <f>90.1065 * CHOOSE(CONTROL!$C$9, $C$13, 100%, $E$13) + CHOOSE(CONTROL!$C$28, 0, 0)</f>
        <v>90.106499999999997</v>
      </c>
      <c r="E937" s="4">
        <f>435.901485883159 * CHOOSE(CONTROL!$C$9, $C$13, 100%, $E$13) + CHOOSE(CONTROL!$C$28, 0, 0)</f>
        <v>435.90148588315901</v>
      </c>
    </row>
    <row r="938" spans="1:5" ht="15">
      <c r="A938" s="13">
        <v>70067</v>
      </c>
      <c r="B938" s="4">
        <f>59.1584 * CHOOSE(CONTROL!$C$9, $C$13, 100%, $E$13) + CHOOSE(CONTROL!$C$28, 0.0003, 0)</f>
        <v>59.158700000000003</v>
      </c>
      <c r="C938" s="4">
        <f>58.7951 * CHOOSE(CONTROL!$C$9, $C$13, 100%, $E$13) + CHOOSE(CONTROL!$C$28, 0.0003, 0)</f>
        <v>58.795400000000001</v>
      </c>
      <c r="D938" s="4">
        <f>88.8905 * CHOOSE(CONTROL!$C$9, $C$13, 100%, $E$13) + CHOOSE(CONTROL!$C$28, 0, 0)</f>
        <v>88.890500000000003</v>
      </c>
      <c r="E938" s="4">
        <f>421.418459167732 * CHOOSE(CONTROL!$C$9, $C$13, 100%, $E$13) + CHOOSE(CONTROL!$C$28, 0, 0)</f>
        <v>421.41845916773201</v>
      </c>
    </row>
    <row r="939" spans="1:5" ht="15">
      <c r="A939" s="13">
        <v>70097</v>
      </c>
      <c r="B939" s="4">
        <f>57.866 * CHOOSE(CONTROL!$C$9, $C$13, 100%, $E$13) + CHOOSE(CONTROL!$C$28, 0.0003, 0)</f>
        <v>57.866300000000003</v>
      </c>
      <c r="C939" s="4">
        <f>57.5027 * CHOOSE(CONTROL!$C$9, $C$13, 100%, $E$13) + CHOOSE(CONTROL!$C$28, 0.0003, 0)</f>
        <v>57.503</v>
      </c>
      <c r="D939" s="4">
        <f>88.4724 * CHOOSE(CONTROL!$C$9, $C$13, 100%, $E$13) + CHOOSE(CONTROL!$C$28, 0, 0)</f>
        <v>88.472399999999993</v>
      </c>
      <c r="E939" s="4">
        <f>412.090308438274 * CHOOSE(CONTROL!$C$9, $C$13, 100%, $E$13) + CHOOSE(CONTROL!$C$28, 0, 0)</f>
        <v>412.09030843827401</v>
      </c>
    </row>
    <row r="940" spans="1:5" ht="15">
      <c r="A940" s="13">
        <v>70128</v>
      </c>
      <c r="B940" s="4">
        <f>56.9719 * CHOOSE(CONTROL!$C$9, $C$13, 100%, $E$13) + CHOOSE(CONTROL!$C$28, 0.0003, 0)</f>
        <v>56.972200000000001</v>
      </c>
      <c r="C940" s="4">
        <f>56.6086 * CHOOSE(CONTROL!$C$9, $C$13, 100%, $E$13) + CHOOSE(CONTROL!$C$28, 0.0003, 0)</f>
        <v>56.608900000000006</v>
      </c>
      <c r="D940" s="4">
        <f>85.3945 * CHOOSE(CONTROL!$C$9, $C$13, 100%, $E$13) + CHOOSE(CONTROL!$C$28, 0, 0)</f>
        <v>85.394499999999994</v>
      </c>
      <c r="E940" s="4">
        <f>405.636427215247 * CHOOSE(CONTROL!$C$9, $C$13, 100%, $E$13) + CHOOSE(CONTROL!$C$28, 0, 0)</f>
        <v>405.63642721524701</v>
      </c>
    </row>
    <row r="941" spans="1:5" ht="15">
      <c r="A941" s="13">
        <v>70159</v>
      </c>
      <c r="B941" s="4">
        <f>54.5255 * CHOOSE(CONTROL!$C$9, $C$13, 100%, $E$13) + CHOOSE(CONTROL!$C$28, 0.0003, 0)</f>
        <v>54.525800000000004</v>
      </c>
      <c r="C941" s="4">
        <f>54.1622 * CHOOSE(CONTROL!$C$9, $C$13, 100%, $E$13) + CHOOSE(CONTROL!$C$28, 0.0003, 0)</f>
        <v>54.162500000000001</v>
      </c>
      <c r="D941" s="4">
        <f>82.0039 * CHOOSE(CONTROL!$C$9, $C$13, 100%, $E$13) + CHOOSE(CONTROL!$C$28, 0, 0)</f>
        <v>82.003900000000002</v>
      </c>
      <c r="E941" s="4">
        <f>388.740021754568 * CHOOSE(CONTROL!$C$9, $C$13, 100%, $E$13) + CHOOSE(CONTROL!$C$28, 0, 0)</f>
        <v>388.74002175456798</v>
      </c>
    </row>
    <row r="942" spans="1:5" ht="15">
      <c r="A942" s="13">
        <v>70188</v>
      </c>
      <c r="B942" s="4">
        <f>55.8018 * CHOOSE(CONTROL!$C$9, $C$13, 100%, $E$13) + CHOOSE(CONTROL!$C$28, 0.0003, 0)</f>
        <v>55.802100000000003</v>
      </c>
      <c r="C942" s="4">
        <f>55.4385 * CHOOSE(CONTROL!$C$9, $C$13, 100%, $E$13) + CHOOSE(CONTROL!$C$28, 0.0003, 0)</f>
        <v>55.438800000000001</v>
      </c>
      <c r="D942" s="4">
        <f>84.8328 * CHOOSE(CONTROL!$C$9, $C$13, 100%, $E$13) + CHOOSE(CONTROL!$C$28, 0, 0)</f>
        <v>84.832800000000006</v>
      </c>
      <c r="E942" s="4">
        <f>397.970241860243 * CHOOSE(CONTROL!$C$9, $C$13, 100%, $E$13) + CHOOSE(CONTROL!$C$28, 0, 0)</f>
        <v>397.97024186024299</v>
      </c>
    </row>
    <row r="943" spans="1:5" ht="15">
      <c r="A943" s="13">
        <v>70219</v>
      </c>
      <c r="B943" s="4">
        <f>59.1534 * CHOOSE(CONTROL!$C$9, $C$13, 100%, $E$13) + CHOOSE(CONTROL!$C$28, 0.0003, 0)</f>
        <v>59.153700000000001</v>
      </c>
      <c r="C943" s="4">
        <f>58.7901 * CHOOSE(CONTROL!$C$9, $C$13, 100%, $E$13) + CHOOSE(CONTROL!$C$28, 0.0003, 0)</f>
        <v>58.790400000000005</v>
      </c>
      <c r="D943" s="4">
        <f>89.2612 * CHOOSE(CONTROL!$C$9, $C$13, 100%, $E$13) + CHOOSE(CONTROL!$C$28, 0, 0)</f>
        <v>89.261200000000002</v>
      </c>
      <c r="E943" s="4">
        <f>422.209290381433 * CHOOSE(CONTROL!$C$9, $C$13, 100%, $E$13) + CHOOSE(CONTROL!$C$28, 0, 0)</f>
        <v>422.20929038143299</v>
      </c>
    </row>
    <row r="944" spans="1:5" ht="15">
      <c r="A944" s="13">
        <v>70249</v>
      </c>
      <c r="B944" s="4">
        <f>61.5347 * CHOOSE(CONTROL!$C$9, $C$13, 100%, $E$13) + CHOOSE(CONTROL!$C$28, 0.0003, 0)</f>
        <v>61.535000000000004</v>
      </c>
      <c r="C944" s="4">
        <f>61.1714 * CHOOSE(CONTROL!$C$9, $C$13, 100%, $E$13) + CHOOSE(CONTROL!$C$28, 0.0003, 0)</f>
        <v>61.171700000000001</v>
      </c>
      <c r="D944" s="4">
        <f>91.8121 * CHOOSE(CONTROL!$C$9, $C$13, 100%, $E$13) + CHOOSE(CONTROL!$C$28, 0, 0)</f>
        <v>91.812100000000001</v>
      </c>
      <c r="E944" s="4">
        <f>439.431457383532 * CHOOSE(CONTROL!$C$9, $C$13, 100%, $E$13) + CHOOSE(CONTROL!$C$28, 0, 0)</f>
        <v>439.43145738353201</v>
      </c>
    </row>
    <row r="945" spans="1:5" ht="15">
      <c r="A945" s="13">
        <v>70280</v>
      </c>
      <c r="B945" s="4">
        <f>62.9897 * CHOOSE(CONTROL!$C$9, $C$13, 100%, $E$13) + CHOOSE(CONTROL!$C$28, 0.013, 0)</f>
        <v>63.002699999999997</v>
      </c>
      <c r="C945" s="4">
        <f>62.6264 * CHOOSE(CONTROL!$C$9, $C$13, 100%, $E$13) + CHOOSE(CONTROL!$C$28, 0.013, 0)</f>
        <v>62.639399999999995</v>
      </c>
      <c r="D945" s="4">
        <f>90.8041 * CHOOSE(CONTROL!$C$9, $C$13, 100%, $E$13) + CHOOSE(CONTROL!$C$28, 0, 0)</f>
        <v>90.804100000000005</v>
      </c>
      <c r="E945" s="4">
        <f>449.953788664078 * CHOOSE(CONTROL!$C$9, $C$13, 100%, $E$13) + CHOOSE(CONTROL!$C$28, 0, 0)</f>
        <v>449.95378866407799</v>
      </c>
    </row>
    <row r="946" spans="1:5" ht="15">
      <c r="A946" s="13">
        <v>70310</v>
      </c>
      <c r="B946" s="4">
        <f>63.1865 * CHOOSE(CONTROL!$C$9, $C$13, 100%, $E$13) + CHOOSE(CONTROL!$C$28, 0.013, 0)</f>
        <v>63.1995</v>
      </c>
      <c r="C946" s="4">
        <f>62.8232 * CHOOSE(CONTROL!$C$9, $C$13, 100%, $E$13) + CHOOSE(CONTROL!$C$28, 0.013, 0)</f>
        <v>62.836199999999998</v>
      </c>
      <c r="D946" s="4">
        <f>91.625 * CHOOSE(CONTROL!$C$9, $C$13, 100%, $E$13) + CHOOSE(CONTROL!$C$28, 0, 0)</f>
        <v>91.625</v>
      </c>
      <c r="E946" s="4">
        <f>451.377503754908 * CHOOSE(CONTROL!$C$9, $C$13, 100%, $E$13) + CHOOSE(CONTROL!$C$28, 0, 0)</f>
        <v>451.37750375490799</v>
      </c>
    </row>
    <row r="947" spans="1:5" ht="15">
      <c r="A947" s="13">
        <v>70341</v>
      </c>
      <c r="B947" s="4">
        <f>63.1667 * CHOOSE(CONTROL!$C$9, $C$13, 100%, $E$13) + CHOOSE(CONTROL!$C$28, 0.013, 0)</f>
        <v>63.179699999999997</v>
      </c>
      <c r="C947" s="4">
        <f>62.8034 * CHOOSE(CONTROL!$C$9, $C$13, 100%, $E$13) + CHOOSE(CONTROL!$C$28, 0.013, 0)</f>
        <v>62.816400000000002</v>
      </c>
      <c r="D947" s="4">
        <f>93.1063 * CHOOSE(CONTROL!$C$9, $C$13, 100%, $E$13) + CHOOSE(CONTROL!$C$28, 0, 0)</f>
        <v>93.106300000000005</v>
      </c>
      <c r="E947" s="4">
        <f>451.233935846589 * CHOOSE(CONTROL!$C$9, $C$13, 100%, $E$13) + CHOOSE(CONTROL!$C$28, 0, 0)</f>
        <v>451.23393584658902</v>
      </c>
    </row>
    <row r="948" spans="1:5" ht="15">
      <c r="A948" s="13">
        <v>70372</v>
      </c>
      <c r="B948" s="4">
        <f>64.6605 * CHOOSE(CONTROL!$C$9, $C$13, 100%, $E$13) + CHOOSE(CONTROL!$C$28, 0.013, 0)</f>
        <v>64.673500000000004</v>
      </c>
      <c r="C948" s="4">
        <f>64.2972 * CHOOSE(CONTROL!$C$9, $C$13, 100%, $E$13) + CHOOSE(CONTROL!$C$28, 0.013, 0)</f>
        <v>64.310200000000009</v>
      </c>
      <c r="D948" s="4">
        <f>92.128 * CHOOSE(CONTROL!$C$9, $C$13, 100%, $E$13) + CHOOSE(CONTROL!$C$28, 0, 0)</f>
        <v>92.128</v>
      </c>
      <c r="E948" s="4">
        <f>462.037420947593 * CHOOSE(CONTROL!$C$9, $C$13, 100%, $E$13) + CHOOSE(CONTROL!$C$28, 0, 0)</f>
        <v>462.03742094759298</v>
      </c>
    </row>
    <row r="949" spans="1:5" ht="15">
      <c r="A949" s="13">
        <v>70402</v>
      </c>
      <c r="B949" s="4">
        <f>62.1145 * CHOOSE(CONTROL!$C$9, $C$13, 100%, $E$13) + CHOOSE(CONTROL!$C$28, 0.013, 0)</f>
        <v>62.127499999999998</v>
      </c>
      <c r="C949" s="4">
        <f>61.7513 * CHOOSE(CONTROL!$C$9, $C$13, 100%, $E$13) + CHOOSE(CONTROL!$C$28, 0.013, 0)</f>
        <v>61.764299999999999</v>
      </c>
      <c r="D949" s="4">
        <f>91.6658 * CHOOSE(CONTROL!$C$9, $C$13, 100%, $E$13) + CHOOSE(CONTROL!$C$28, 0, 0)</f>
        <v>91.665800000000004</v>
      </c>
      <c r="E949" s="4">
        <f>443.624836705682 * CHOOSE(CONTROL!$C$9, $C$13, 100%, $E$13) + CHOOSE(CONTROL!$C$28, 0, 0)</f>
        <v>443.62483670568201</v>
      </c>
    </row>
    <row r="950" spans="1:5" ht="15">
      <c r="A950" s="13">
        <v>70433</v>
      </c>
      <c r="B950" s="4">
        <f>60.0765 * CHOOSE(CONTROL!$C$9, $C$13, 100%, $E$13) + CHOOSE(CONTROL!$C$28, 0.0003, 0)</f>
        <v>60.076800000000006</v>
      </c>
      <c r="C950" s="4">
        <f>59.7132 * CHOOSE(CONTROL!$C$9, $C$13, 100%, $E$13) + CHOOSE(CONTROL!$C$28, 0.0003, 0)</f>
        <v>59.713500000000003</v>
      </c>
      <c r="D950" s="4">
        <f>90.4283 * CHOOSE(CONTROL!$C$9, $C$13, 100%, $E$13) + CHOOSE(CONTROL!$C$28, 0, 0)</f>
        <v>90.428299999999993</v>
      </c>
      <c r="E950" s="4">
        <f>428.885198118266 * CHOOSE(CONTROL!$C$9, $C$13, 100%, $E$13) + CHOOSE(CONTROL!$C$28, 0, 0)</f>
        <v>428.88519811826598</v>
      </c>
    </row>
    <row r="951" spans="1:5" ht="15">
      <c r="A951" s="13">
        <v>70463</v>
      </c>
      <c r="B951" s="4">
        <f>58.7638 * CHOOSE(CONTROL!$C$9, $C$13, 100%, $E$13) + CHOOSE(CONTROL!$C$28, 0.0003, 0)</f>
        <v>58.764100000000006</v>
      </c>
      <c r="C951" s="4">
        <f>58.4005 * CHOOSE(CONTROL!$C$9, $C$13, 100%, $E$13) + CHOOSE(CONTROL!$C$28, 0.0003, 0)</f>
        <v>58.400800000000004</v>
      </c>
      <c r="D951" s="4">
        <f>90.0028 * CHOOSE(CONTROL!$C$9, $C$13, 100%, $E$13) + CHOOSE(CONTROL!$C$28, 0, 0)</f>
        <v>90.002799999999993</v>
      </c>
      <c r="E951" s="4">
        <f>419.391770180673 * CHOOSE(CONTROL!$C$9, $C$13, 100%, $E$13) + CHOOSE(CONTROL!$C$28, 0, 0)</f>
        <v>419.39177018067301</v>
      </c>
    </row>
    <row r="952" spans="1:5" ht="15">
      <c r="A952" s="13">
        <v>70494</v>
      </c>
      <c r="B952" s="4">
        <f>57.8556 * CHOOSE(CONTROL!$C$9, $C$13, 100%, $E$13) + CHOOSE(CONTROL!$C$28, 0.0003, 0)</f>
        <v>57.855900000000005</v>
      </c>
      <c r="C952" s="4">
        <f>57.4923 * CHOOSE(CONTROL!$C$9, $C$13, 100%, $E$13) + CHOOSE(CONTROL!$C$28, 0.0003, 0)</f>
        <v>57.492600000000003</v>
      </c>
      <c r="D952" s="4">
        <f>86.8705 * CHOOSE(CONTROL!$C$9, $C$13, 100%, $E$13) + CHOOSE(CONTROL!$C$28, 0, 0)</f>
        <v>86.870500000000007</v>
      </c>
      <c r="E952" s="4">
        <f>412.823538375079 * CHOOSE(CONTROL!$C$9, $C$13, 100%, $E$13) + CHOOSE(CONTROL!$C$28, 0, 0)</f>
        <v>412.82353837507901</v>
      </c>
    </row>
    <row r="953" spans="1:5" ht="15">
      <c r="A953" s="13">
        <v>70525</v>
      </c>
      <c r="B953" s="4">
        <f>55.3707 * CHOOSE(CONTROL!$C$9, $C$13, 100%, $E$13) + CHOOSE(CONTROL!$C$28, 0.0003, 0)</f>
        <v>55.371000000000002</v>
      </c>
      <c r="C953" s="4">
        <f>55.0074 * CHOOSE(CONTROL!$C$9, $C$13, 100%, $E$13) + CHOOSE(CONTROL!$C$28, 0.0003, 0)</f>
        <v>55.0077</v>
      </c>
      <c r="D953" s="4">
        <f>83.42 * CHOOSE(CONTROL!$C$9, $C$13, 100%, $E$13) + CHOOSE(CONTROL!$C$28, 0, 0)</f>
        <v>83.42</v>
      </c>
      <c r="E953" s="4">
        <f>395.627760530413 * CHOOSE(CONTROL!$C$9, $C$13, 100%, $E$13) + CHOOSE(CONTROL!$C$28, 0, 0)</f>
        <v>395.62776053041301</v>
      </c>
    </row>
    <row r="954" spans="1:5" ht="15">
      <c r="A954" s="13">
        <v>70553</v>
      </c>
      <c r="B954" s="4">
        <f>56.6671 * CHOOSE(CONTROL!$C$9, $C$13, 100%, $E$13) + CHOOSE(CONTROL!$C$28, 0.0003, 0)</f>
        <v>56.667400000000001</v>
      </c>
      <c r="C954" s="4">
        <f>56.3038 * CHOOSE(CONTROL!$C$9, $C$13, 100%, $E$13) + CHOOSE(CONTROL!$C$28, 0.0003, 0)</f>
        <v>56.304100000000005</v>
      </c>
      <c r="D954" s="4">
        <f>86.2989 * CHOOSE(CONTROL!$C$9, $C$13, 100%, $E$13) + CHOOSE(CONTROL!$C$28, 0, 0)</f>
        <v>86.298900000000003</v>
      </c>
      <c r="E954" s="4">
        <f>405.021522698581 * CHOOSE(CONTROL!$C$9, $C$13, 100%, $E$13) + CHOOSE(CONTROL!$C$28, 0, 0)</f>
        <v>405.02152269858101</v>
      </c>
    </row>
    <row r="955" spans="1:5" ht="15">
      <c r="A955" s="13">
        <v>70584</v>
      </c>
      <c r="B955" s="4">
        <f>60.0714 * CHOOSE(CONTROL!$C$9, $C$13, 100%, $E$13) + CHOOSE(CONTROL!$C$28, 0.0003, 0)</f>
        <v>60.0717</v>
      </c>
      <c r="C955" s="4">
        <f>59.7081 * CHOOSE(CONTROL!$C$9, $C$13, 100%, $E$13) + CHOOSE(CONTROL!$C$28, 0.0003, 0)</f>
        <v>59.708400000000005</v>
      </c>
      <c r="D955" s="4">
        <f>90.8055 * CHOOSE(CONTROL!$C$9, $C$13, 100%, $E$13) + CHOOSE(CONTROL!$C$28, 0, 0)</f>
        <v>90.805499999999995</v>
      </c>
      <c r="E955" s="4">
        <f>429.690041367031 * CHOOSE(CONTROL!$C$9, $C$13, 100%, $E$13) + CHOOSE(CONTROL!$C$28, 0, 0)</f>
        <v>429.69004136703097</v>
      </c>
    </row>
    <row r="956" spans="1:5" ht="15">
      <c r="A956" s="13">
        <v>70614</v>
      </c>
      <c r="B956" s="4">
        <f>62.4902 * CHOOSE(CONTROL!$C$9, $C$13, 100%, $E$13) + CHOOSE(CONTROL!$C$28, 0.0003, 0)</f>
        <v>62.490500000000004</v>
      </c>
      <c r="C956" s="4">
        <f>62.1269 * CHOOSE(CONTROL!$C$9, $C$13, 100%, $E$13) + CHOOSE(CONTROL!$C$28, 0.0003, 0)</f>
        <v>62.127200000000002</v>
      </c>
      <c r="D956" s="4">
        <f>93.4015 * CHOOSE(CONTROL!$C$9, $C$13, 100%, $E$13) + CHOOSE(CONTROL!$C$28, 0, 0)</f>
        <v>93.401499999999999</v>
      </c>
      <c r="E956" s="4">
        <f>447.217352632201 * CHOOSE(CONTROL!$C$9, $C$13, 100%, $E$13) + CHOOSE(CONTROL!$C$28, 0, 0)</f>
        <v>447.21735263220103</v>
      </c>
    </row>
    <row r="957" spans="1:5" ht="15">
      <c r="A957" s="13">
        <v>70645</v>
      </c>
      <c r="B957" s="4">
        <f>63.968 * CHOOSE(CONTROL!$C$9, $C$13, 100%, $E$13) + CHOOSE(CONTROL!$C$28, 0.013, 0)</f>
        <v>63.981000000000002</v>
      </c>
      <c r="C957" s="4">
        <f>63.6047 * CHOOSE(CONTROL!$C$9, $C$13, 100%, $E$13) + CHOOSE(CONTROL!$C$28, 0.013, 0)</f>
        <v>63.617699999999999</v>
      </c>
      <c r="D957" s="4">
        <f>92.3757 * CHOOSE(CONTROL!$C$9, $C$13, 100%, $E$13) + CHOOSE(CONTROL!$C$28, 0, 0)</f>
        <v>92.375699999999995</v>
      </c>
      <c r="E957" s="4">
        <f>457.926119744196 * CHOOSE(CONTROL!$C$9, $C$13, 100%, $E$13) + CHOOSE(CONTROL!$C$28, 0, 0)</f>
        <v>457.926119744196</v>
      </c>
    </row>
    <row r="958" spans="1:5" ht="15">
      <c r="A958" s="13">
        <v>70675</v>
      </c>
      <c r="B958" s="4">
        <f>64.168 * CHOOSE(CONTROL!$C$9, $C$13, 100%, $E$13) + CHOOSE(CONTROL!$C$28, 0.013, 0)</f>
        <v>64.181000000000012</v>
      </c>
      <c r="C958" s="4">
        <f>63.8047 * CHOOSE(CONTROL!$C$9, $C$13, 100%, $E$13) + CHOOSE(CONTROL!$C$28, 0.013, 0)</f>
        <v>63.817699999999995</v>
      </c>
      <c r="D958" s="4">
        <f>93.2111 * CHOOSE(CONTROL!$C$9, $C$13, 100%, $E$13) + CHOOSE(CONTROL!$C$28, 0, 0)</f>
        <v>93.211100000000002</v>
      </c>
      <c r="E958" s="4">
        <f>459.375060376746 * CHOOSE(CONTROL!$C$9, $C$13, 100%, $E$13) + CHOOSE(CONTROL!$C$28, 0, 0)</f>
        <v>459.37506037674598</v>
      </c>
    </row>
    <row r="959" spans="1:5" ht="15">
      <c r="A959" s="13">
        <v>70706</v>
      </c>
      <c r="B959" s="4">
        <f>64.1478 * CHOOSE(CONTROL!$C$9, $C$13, 100%, $E$13) + CHOOSE(CONTROL!$C$28, 0.013, 0)</f>
        <v>64.160800000000009</v>
      </c>
      <c r="C959" s="4">
        <f>63.7845 * CHOOSE(CONTROL!$C$9, $C$13, 100%, $E$13) + CHOOSE(CONTROL!$C$28, 0.013, 0)</f>
        <v>63.797499999999999</v>
      </c>
      <c r="D959" s="4">
        <f>94.7186 * CHOOSE(CONTROL!$C$9, $C$13, 100%, $E$13) + CHOOSE(CONTROL!$C$28, 0, 0)</f>
        <v>94.718599999999995</v>
      </c>
      <c r="E959" s="4">
        <f>459.228948716321 * CHOOSE(CONTROL!$C$9, $C$13, 100%, $E$13) + CHOOSE(CONTROL!$C$28, 0, 0)</f>
        <v>459.22894871632099</v>
      </c>
    </row>
    <row r="960" spans="1:5" ht="15">
      <c r="A960" s="13">
        <v>70737</v>
      </c>
      <c r="B960" s="4">
        <f>65.6651 * CHOOSE(CONTROL!$C$9, $C$13, 100%, $E$13) + CHOOSE(CONTROL!$C$28, 0.013, 0)</f>
        <v>65.678100000000001</v>
      </c>
      <c r="C960" s="4">
        <f>65.3018 * CHOOSE(CONTROL!$C$9, $C$13, 100%, $E$13) + CHOOSE(CONTROL!$C$28, 0.013, 0)</f>
        <v>65.314800000000005</v>
      </c>
      <c r="D960" s="4">
        <f>93.7231 * CHOOSE(CONTROL!$C$9, $C$13, 100%, $E$13) + CHOOSE(CONTROL!$C$28, 0, 0)</f>
        <v>93.723100000000002</v>
      </c>
      <c r="E960" s="4">
        <f>470.223851163315 * CHOOSE(CONTROL!$C$9, $C$13, 100%, $E$13) + CHOOSE(CONTROL!$C$28, 0, 0)</f>
        <v>470.22385116331498</v>
      </c>
    </row>
    <row r="961" spans="1:5" ht="15">
      <c r="A961" s="13">
        <v>70767</v>
      </c>
      <c r="B961" s="4">
        <f>63.0791 * CHOOSE(CONTROL!$C$9, $C$13, 100%, $E$13) + CHOOSE(CONTROL!$C$28, 0.013, 0)</f>
        <v>63.092099999999995</v>
      </c>
      <c r="C961" s="4">
        <f>62.7158 * CHOOSE(CONTROL!$C$9, $C$13, 100%, $E$13) + CHOOSE(CONTROL!$C$28, 0.013, 0)</f>
        <v>62.7288</v>
      </c>
      <c r="D961" s="4">
        <f>93.2527 * CHOOSE(CONTROL!$C$9, $C$13, 100%, $E$13) + CHOOSE(CONTROL!$C$28, 0, 0)</f>
        <v>93.252700000000004</v>
      </c>
      <c r="E961" s="4">
        <f>451.485030713787 * CHOOSE(CONTROL!$C$9, $C$13, 100%, $E$13) + CHOOSE(CONTROL!$C$28, 0, 0)</f>
        <v>451.48503071378701</v>
      </c>
    </row>
    <row r="962" spans="1:5" ht="15">
      <c r="A962" s="13">
        <v>70798</v>
      </c>
      <c r="B962" s="4">
        <f>61.009 * CHOOSE(CONTROL!$C$9, $C$13, 100%, $E$13) + CHOOSE(CONTROL!$C$28, 0.0003, 0)</f>
        <v>61.009300000000003</v>
      </c>
      <c r="C962" s="4">
        <f>60.6457 * CHOOSE(CONTROL!$C$9, $C$13, 100%, $E$13) + CHOOSE(CONTROL!$C$28, 0.0003, 0)</f>
        <v>60.646000000000001</v>
      </c>
      <c r="D962" s="4">
        <f>91.9933 * CHOOSE(CONTROL!$C$9, $C$13, 100%, $E$13) + CHOOSE(CONTROL!$C$28, 0, 0)</f>
        <v>91.993300000000005</v>
      </c>
      <c r="E962" s="4">
        <f>436.484233576802 * CHOOSE(CONTROL!$C$9, $C$13, 100%, $E$13) + CHOOSE(CONTROL!$C$28, 0, 0)</f>
        <v>436.48423357680201</v>
      </c>
    </row>
    <row r="963" spans="1:5" ht="15">
      <c r="A963" s="13">
        <v>70828</v>
      </c>
      <c r="B963" s="4">
        <f>59.6757 * CHOOSE(CONTROL!$C$9, $C$13, 100%, $E$13) + CHOOSE(CONTROL!$C$28, 0.0003, 0)</f>
        <v>59.676000000000002</v>
      </c>
      <c r="C963" s="4">
        <f>59.3124 * CHOOSE(CONTROL!$C$9, $C$13, 100%, $E$13) + CHOOSE(CONTROL!$C$28, 0.0003, 0)</f>
        <v>59.3127</v>
      </c>
      <c r="D963" s="4">
        <f>91.5603 * CHOOSE(CONTROL!$C$9, $C$13, 100%, $E$13) + CHOOSE(CONTROL!$C$28, 0, 0)</f>
        <v>91.560299999999998</v>
      </c>
      <c r="E963" s="4">
        <f>426.822600031187 * CHOOSE(CONTROL!$C$9, $C$13, 100%, $E$13) + CHOOSE(CONTROL!$C$28, 0, 0)</f>
        <v>426.82260003118699</v>
      </c>
    </row>
    <row r="964" spans="1:5" ht="15">
      <c r="A964" s="13">
        <v>70859</v>
      </c>
      <c r="B964" s="4">
        <f>58.7532 * CHOOSE(CONTROL!$C$9, $C$13, 100%, $E$13) + CHOOSE(CONTROL!$C$28, 0.0003, 0)</f>
        <v>58.753500000000003</v>
      </c>
      <c r="C964" s="4">
        <f>58.3899 * CHOOSE(CONTROL!$C$9, $C$13, 100%, $E$13) + CHOOSE(CONTROL!$C$28, 0.0003, 0)</f>
        <v>58.3902</v>
      </c>
      <c r="D964" s="4">
        <f>88.3727 * CHOOSE(CONTROL!$C$9, $C$13, 100%, $E$13) + CHOOSE(CONTROL!$C$28, 0, 0)</f>
        <v>88.372699999999995</v>
      </c>
      <c r="E964" s="4">
        <f>420.137991566736 * CHOOSE(CONTROL!$C$9, $C$13, 100%, $E$13) + CHOOSE(CONTROL!$C$28, 0, 0)</f>
        <v>420.13799156673599</v>
      </c>
    </row>
    <row r="965" spans="1:5" ht="15">
      <c r="A965" s="13">
        <v>70890</v>
      </c>
      <c r="B965" s="4">
        <f>56.2293 * CHOOSE(CONTROL!$C$9, $C$13, 100%, $E$13) + CHOOSE(CONTROL!$C$28, 0.0003, 0)</f>
        <v>56.229600000000005</v>
      </c>
      <c r="C965" s="4">
        <f>55.866 * CHOOSE(CONTROL!$C$9, $C$13, 100%, $E$13) + CHOOSE(CONTROL!$C$28, 0.0003, 0)</f>
        <v>55.866300000000003</v>
      </c>
      <c r="D965" s="4">
        <f>84.8612 * CHOOSE(CONTROL!$C$9, $C$13, 100%, $E$13) + CHOOSE(CONTROL!$C$28, 0, 0)</f>
        <v>84.861199999999997</v>
      </c>
      <c r="E965" s="4">
        <f>402.637537025014 * CHOOSE(CONTROL!$C$9, $C$13, 100%, $E$13) + CHOOSE(CONTROL!$C$28, 0, 0)</f>
        <v>402.63753702501401</v>
      </c>
    </row>
    <row r="966" spans="1:5" ht="15">
      <c r="A966" s="13">
        <v>70918</v>
      </c>
      <c r="B966" s="4">
        <f>57.546 * CHOOSE(CONTROL!$C$9, $C$13, 100%, $E$13) + CHOOSE(CONTROL!$C$28, 0.0003, 0)</f>
        <v>57.546300000000002</v>
      </c>
      <c r="C966" s="4">
        <f>57.1827 * CHOOSE(CONTROL!$C$9, $C$13, 100%, $E$13) + CHOOSE(CONTROL!$C$28, 0.0003, 0)</f>
        <v>57.183</v>
      </c>
      <c r="D966" s="4">
        <f>87.7909 * CHOOSE(CONTROL!$C$9, $C$13, 100%, $E$13) + CHOOSE(CONTROL!$C$28, 0, 0)</f>
        <v>87.790899999999993</v>
      </c>
      <c r="E966" s="4">
        <f>412.197738912059 * CHOOSE(CONTROL!$C$9, $C$13, 100%, $E$13) + CHOOSE(CONTROL!$C$28, 0, 0)</f>
        <v>412.19773891205898</v>
      </c>
    </row>
    <row r="967" spans="1:5" ht="15">
      <c r="A967" s="13">
        <v>70949</v>
      </c>
      <c r="B967" s="4">
        <f>61.0038 * CHOOSE(CONTROL!$C$9, $C$13, 100%, $E$13) + CHOOSE(CONTROL!$C$28, 0.0003, 0)</f>
        <v>61.004100000000001</v>
      </c>
      <c r="C967" s="4">
        <f>60.6406 * CHOOSE(CONTROL!$C$9, $C$13, 100%, $E$13) + CHOOSE(CONTROL!$C$28, 0.0003, 0)</f>
        <v>60.640900000000002</v>
      </c>
      <c r="D967" s="4">
        <f>92.3772 * CHOOSE(CONTROL!$C$9, $C$13, 100%, $E$13) + CHOOSE(CONTROL!$C$28, 0, 0)</f>
        <v>92.377200000000002</v>
      </c>
      <c r="E967" s="4">
        <f>437.303337127422 * CHOOSE(CONTROL!$C$9, $C$13, 100%, $E$13) + CHOOSE(CONTROL!$C$28, 0, 0)</f>
        <v>437.30333712742203</v>
      </c>
    </row>
    <row r="968" spans="1:5" ht="15">
      <c r="A968" s="13">
        <v>70979</v>
      </c>
      <c r="B968" s="4">
        <f>63.4607 * CHOOSE(CONTROL!$C$9, $C$13, 100%, $E$13) + CHOOSE(CONTROL!$C$28, 0.0003, 0)</f>
        <v>63.461000000000006</v>
      </c>
      <c r="C968" s="4">
        <f>63.0974 * CHOOSE(CONTROL!$C$9, $C$13, 100%, $E$13) + CHOOSE(CONTROL!$C$28, 0.0003, 0)</f>
        <v>63.097700000000003</v>
      </c>
      <c r="D968" s="4">
        <f>95.019 * CHOOSE(CONTROL!$C$9, $C$13, 100%, $E$13) + CHOOSE(CONTROL!$C$28, 0, 0)</f>
        <v>95.019000000000005</v>
      </c>
      <c r="E968" s="4">
        <f>455.141199235524 * CHOOSE(CONTROL!$C$9, $C$13, 100%, $E$13) + CHOOSE(CONTROL!$C$28, 0, 0)</f>
        <v>455.14119923552403</v>
      </c>
    </row>
    <row r="969" spans="1:5" ht="15">
      <c r="A969" s="13">
        <v>71010</v>
      </c>
      <c r="B969" s="4">
        <f>64.9617 * CHOOSE(CONTROL!$C$9, $C$13, 100%, $E$13) + CHOOSE(CONTROL!$C$28, 0.013, 0)</f>
        <v>64.974699999999999</v>
      </c>
      <c r="C969" s="4">
        <f>64.5985 * CHOOSE(CONTROL!$C$9, $C$13, 100%, $E$13) + CHOOSE(CONTROL!$C$28, 0.013, 0)</f>
        <v>64.611500000000007</v>
      </c>
      <c r="D969" s="4">
        <f>93.9751 * CHOOSE(CONTROL!$C$9, $C$13, 100%, $E$13) + CHOOSE(CONTROL!$C$28, 0, 0)</f>
        <v>93.975099999999998</v>
      </c>
      <c r="E969" s="4">
        <f>466.039705469686 * CHOOSE(CONTROL!$C$9, $C$13, 100%, $E$13) + CHOOSE(CONTROL!$C$28, 0, 0)</f>
        <v>466.039705469686</v>
      </c>
    </row>
    <row r="970" spans="1:5" ht="15">
      <c r="A970" s="13">
        <v>71040</v>
      </c>
      <c r="B970" s="4">
        <f>65.1648 * CHOOSE(CONTROL!$C$9, $C$13, 100%, $E$13) + CHOOSE(CONTROL!$C$28, 0.013, 0)</f>
        <v>65.177800000000005</v>
      </c>
      <c r="C970" s="4">
        <f>64.8016 * CHOOSE(CONTROL!$C$9, $C$13, 100%, $E$13) + CHOOSE(CONTROL!$C$28, 0.013, 0)</f>
        <v>64.814599999999999</v>
      </c>
      <c r="D970" s="4">
        <f>94.8253 * CHOOSE(CONTROL!$C$9, $C$13, 100%, $E$13) + CHOOSE(CONTROL!$C$28, 0, 0)</f>
        <v>94.825299999999999</v>
      </c>
      <c r="E970" s="4">
        <f>467.514318592898 * CHOOSE(CONTROL!$C$9, $C$13, 100%, $E$13) + CHOOSE(CONTROL!$C$28, 0, 0)</f>
        <v>467.51431859289801</v>
      </c>
    </row>
    <row r="971" spans="1:5" ht="15">
      <c r="A971" s="13">
        <v>71071</v>
      </c>
      <c r="B971" s="4">
        <f>65.1444 * CHOOSE(CONTROL!$C$9, $C$13, 100%, $E$13) + CHOOSE(CONTROL!$C$28, 0.013, 0)</f>
        <v>65.15740000000001</v>
      </c>
      <c r="C971" s="4">
        <f>64.7811 * CHOOSE(CONTROL!$C$9, $C$13, 100%, $E$13) + CHOOSE(CONTROL!$C$28, 0.013, 0)</f>
        <v>64.7941</v>
      </c>
      <c r="D971" s="4">
        <f>96.3594 * CHOOSE(CONTROL!$C$9, $C$13, 100%, $E$13) + CHOOSE(CONTROL!$C$28, 0, 0)</f>
        <v>96.359399999999994</v>
      </c>
      <c r="E971" s="4">
        <f>467.365618109885 * CHOOSE(CONTROL!$C$9, $C$13, 100%, $E$13) + CHOOSE(CONTROL!$C$28, 0, 0)</f>
        <v>467.36561810988502</v>
      </c>
    </row>
    <row r="972" spans="1:5" ht="15">
      <c r="A972" s="13">
        <v>71102</v>
      </c>
      <c r="B972" s="4">
        <f>66.6855 * CHOOSE(CONTROL!$C$9, $C$13, 100%, $E$13) + CHOOSE(CONTROL!$C$28, 0.013, 0)</f>
        <v>66.69850000000001</v>
      </c>
      <c r="C972" s="4">
        <f>66.3222 * CHOOSE(CONTROL!$C$9, $C$13, 100%, $E$13) + CHOOSE(CONTROL!$C$28, 0.013, 0)</f>
        <v>66.3352</v>
      </c>
      <c r="D972" s="4">
        <f>95.3463 * CHOOSE(CONTROL!$C$9, $C$13, 100%, $E$13) + CHOOSE(CONTROL!$C$28, 0, 0)</f>
        <v>95.346299999999999</v>
      </c>
      <c r="E972" s="4">
        <f>478.555329456614 * CHOOSE(CONTROL!$C$9, $C$13, 100%, $E$13) + CHOOSE(CONTROL!$C$28, 0, 0)</f>
        <v>478.555329456614</v>
      </c>
    </row>
    <row r="973" spans="1:5" ht="15">
      <c r="A973" s="13">
        <v>71132</v>
      </c>
      <c r="B973" s="4">
        <f>64.0589 * CHOOSE(CONTROL!$C$9, $C$13, 100%, $E$13) + CHOOSE(CONTROL!$C$28, 0.013, 0)</f>
        <v>64.071899999999999</v>
      </c>
      <c r="C973" s="4">
        <f>63.6956 * CHOOSE(CONTROL!$C$9, $C$13, 100%, $E$13) + CHOOSE(CONTROL!$C$28, 0.013, 0)</f>
        <v>63.708599999999997</v>
      </c>
      <c r="D973" s="4">
        <f>94.8676 * CHOOSE(CONTROL!$C$9, $C$13, 100%, $E$13) + CHOOSE(CONTROL!$C$28, 0, 0)</f>
        <v>94.867599999999996</v>
      </c>
      <c r="E973" s="4">
        <f>459.484492510196 * CHOOSE(CONTROL!$C$9, $C$13, 100%, $E$13) + CHOOSE(CONTROL!$C$28, 0, 0)</f>
        <v>459.48449251019599</v>
      </c>
    </row>
    <row r="974" spans="1:5" ht="15">
      <c r="A974" s="13">
        <v>71163</v>
      </c>
      <c r="B974" s="4">
        <f>61.9562 * CHOOSE(CONTROL!$C$9, $C$13, 100%, $E$13) + CHOOSE(CONTROL!$C$28, 0.0003, 0)</f>
        <v>61.956500000000005</v>
      </c>
      <c r="C974" s="4">
        <f>61.5929 * CHOOSE(CONTROL!$C$9, $C$13, 100%, $E$13) + CHOOSE(CONTROL!$C$28, 0.0003, 0)</f>
        <v>61.593200000000003</v>
      </c>
      <c r="D974" s="4">
        <f>93.586 * CHOOSE(CONTROL!$C$9, $C$13, 100%, $E$13) + CHOOSE(CONTROL!$C$28, 0, 0)</f>
        <v>93.585999999999999</v>
      </c>
      <c r="E974" s="4">
        <f>444.217909587527 * CHOOSE(CONTROL!$C$9, $C$13, 100%, $E$13) + CHOOSE(CONTROL!$C$28, 0, 0)</f>
        <v>444.217909587527</v>
      </c>
    </row>
    <row r="975" spans="1:5" ht="15">
      <c r="A975" s="13">
        <v>71193</v>
      </c>
      <c r="B975" s="4">
        <f>60.6019 * CHOOSE(CONTROL!$C$9, $C$13, 100%, $E$13) + CHOOSE(CONTROL!$C$28, 0.0003, 0)</f>
        <v>60.602200000000003</v>
      </c>
      <c r="C975" s="4">
        <f>60.2386 * CHOOSE(CONTROL!$C$9, $C$13, 100%, $E$13) + CHOOSE(CONTROL!$C$28, 0.0003, 0)</f>
        <v>60.238900000000001</v>
      </c>
      <c r="D975" s="4">
        <f>93.1453 * CHOOSE(CONTROL!$C$9, $C$13, 100%, $E$13) + CHOOSE(CONTROL!$C$28, 0, 0)</f>
        <v>93.145300000000006</v>
      </c>
      <c r="E975" s="4">
        <f>434.385090148292 * CHOOSE(CONTROL!$C$9, $C$13, 100%, $E$13) + CHOOSE(CONTROL!$C$28, 0, 0)</f>
        <v>434.38509014829202</v>
      </c>
    </row>
    <row r="976" spans="1:5" ht="15">
      <c r="A976" s="13">
        <v>71224</v>
      </c>
      <c r="B976" s="4">
        <f>59.6649 * CHOOSE(CONTROL!$C$9, $C$13, 100%, $E$13) + CHOOSE(CONTROL!$C$28, 0.0003, 0)</f>
        <v>59.665200000000006</v>
      </c>
      <c r="C976" s="4">
        <f>59.3016 * CHOOSE(CONTROL!$C$9, $C$13, 100%, $E$13) + CHOOSE(CONTROL!$C$28, 0.0003, 0)</f>
        <v>59.301900000000003</v>
      </c>
      <c r="D976" s="4">
        <f>89.9013 * CHOOSE(CONTROL!$C$9, $C$13, 100%, $E$13) + CHOOSE(CONTROL!$C$28, 0, 0)</f>
        <v>89.901300000000006</v>
      </c>
      <c r="E976" s="4">
        <f>427.582043050446 * CHOOSE(CONTROL!$C$9, $C$13, 100%, $E$13) + CHOOSE(CONTROL!$C$28, 0, 0)</f>
        <v>427.58204305044598</v>
      </c>
    </row>
    <row r="977" spans="1:5" ht="15">
      <c r="A977" s="13">
        <v>71255</v>
      </c>
      <c r="B977" s="4">
        <f>57.1013 * CHOOSE(CONTROL!$C$9, $C$13, 100%, $E$13) + CHOOSE(CONTROL!$C$28, 0.0003, 0)</f>
        <v>57.101600000000005</v>
      </c>
      <c r="C977" s="4">
        <f>56.738 * CHOOSE(CONTROL!$C$9, $C$13, 100%, $E$13) + CHOOSE(CONTROL!$C$28, 0.0003, 0)</f>
        <v>56.738300000000002</v>
      </c>
      <c r="D977" s="4">
        <f>86.3278 * CHOOSE(CONTROL!$C$9, $C$13, 100%, $E$13) + CHOOSE(CONTROL!$C$28, 0, 0)</f>
        <v>86.327799999999996</v>
      </c>
      <c r="E977" s="4">
        <f>409.771513516194 * CHOOSE(CONTROL!$C$9, $C$13, 100%, $E$13) + CHOOSE(CONTROL!$C$28, 0, 0)</f>
        <v>409.77151351619398</v>
      </c>
    </row>
    <row r="978" spans="1:5" ht="15">
      <c r="A978" s="13">
        <v>71283</v>
      </c>
      <c r="B978" s="4">
        <f>58.4388 * CHOOSE(CONTROL!$C$9, $C$13, 100%, $E$13) + CHOOSE(CONTROL!$C$28, 0.0003, 0)</f>
        <v>58.439100000000003</v>
      </c>
      <c r="C978" s="4">
        <f>58.0755 * CHOOSE(CONTROL!$C$9, $C$13, 100%, $E$13) + CHOOSE(CONTROL!$C$28, 0.0003, 0)</f>
        <v>58.075800000000001</v>
      </c>
      <c r="D978" s="4">
        <f>89.3093 * CHOOSE(CONTROL!$C$9, $C$13, 100%, $E$13) + CHOOSE(CONTROL!$C$28, 0, 0)</f>
        <v>89.309299999999993</v>
      </c>
      <c r="E978" s="4">
        <f>419.501104119495 * CHOOSE(CONTROL!$C$9, $C$13, 100%, $E$13) + CHOOSE(CONTROL!$C$28, 0, 0)</f>
        <v>419.50110411949498</v>
      </c>
    </row>
    <row r="979" spans="1:5" ht="15">
      <c r="A979" s="13">
        <v>71314</v>
      </c>
      <c r="B979" s="4">
        <f>61.951 * CHOOSE(CONTROL!$C$9, $C$13, 100%, $E$13) + CHOOSE(CONTROL!$C$28, 0.0003, 0)</f>
        <v>61.951300000000003</v>
      </c>
      <c r="C979" s="4">
        <f>61.5877 * CHOOSE(CONTROL!$C$9, $C$13, 100%, $E$13) + CHOOSE(CONTROL!$C$28, 0.0003, 0)</f>
        <v>61.588000000000001</v>
      </c>
      <c r="D979" s="4">
        <f>93.9766 * CHOOSE(CONTROL!$C$9, $C$13, 100%, $E$13) + CHOOSE(CONTROL!$C$28, 0, 0)</f>
        <v>93.976600000000005</v>
      </c>
      <c r="E979" s="4">
        <f>445.051526105609 * CHOOSE(CONTROL!$C$9, $C$13, 100%, $E$13) + CHOOSE(CONTROL!$C$28, 0, 0)</f>
        <v>445.05152610560901</v>
      </c>
    </row>
    <row r="980" spans="1:5" ht="15">
      <c r="A980" s="13">
        <v>71344</v>
      </c>
      <c r="B980" s="4">
        <f>64.4464 * CHOOSE(CONTROL!$C$9, $C$13, 100%, $E$13) + CHOOSE(CONTROL!$C$28, 0.0003, 0)</f>
        <v>64.446699999999993</v>
      </c>
      <c r="C980" s="4">
        <f>64.0831 * CHOOSE(CONTROL!$C$9, $C$13, 100%, $E$13) + CHOOSE(CONTROL!$C$28, 0.0003, 0)</f>
        <v>64.083399999999997</v>
      </c>
      <c r="D980" s="4">
        <f>96.6651 * CHOOSE(CONTROL!$C$9, $C$13, 100%, $E$13) + CHOOSE(CONTROL!$C$28, 0, 0)</f>
        <v>96.665099999999995</v>
      </c>
      <c r="E980" s="4">
        <f>463.205441430886 * CHOOSE(CONTROL!$C$9, $C$13, 100%, $E$13) + CHOOSE(CONTROL!$C$28, 0, 0)</f>
        <v>463.20544143088603</v>
      </c>
    </row>
    <row r="981" spans="1:5" ht="15">
      <c r="A981" s="13">
        <v>71375</v>
      </c>
      <c r="B981" s="4">
        <f>65.9711 * CHOOSE(CONTROL!$C$9, $C$13, 100%, $E$13) + CHOOSE(CONTROL!$C$28, 0.013, 0)</f>
        <v>65.984100000000012</v>
      </c>
      <c r="C981" s="4">
        <f>65.6078 * CHOOSE(CONTROL!$C$9, $C$13, 100%, $E$13) + CHOOSE(CONTROL!$C$28, 0.013, 0)</f>
        <v>65.620800000000003</v>
      </c>
      <c r="D981" s="4">
        <f>95.6028 * CHOOSE(CONTROL!$C$9, $C$13, 100%, $E$13) + CHOOSE(CONTROL!$C$28, 0, 0)</f>
        <v>95.602800000000002</v>
      </c>
      <c r="E981" s="4">
        <f>474.297048606003 * CHOOSE(CONTROL!$C$9, $C$13, 100%, $E$13) + CHOOSE(CONTROL!$C$28, 0, 0)</f>
        <v>474.29704860600299</v>
      </c>
    </row>
    <row r="982" spans="1:5" ht="15">
      <c r="A982" s="13">
        <v>71405</v>
      </c>
      <c r="B982" s="4">
        <f>66.1774 * CHOOSE(CONTROL!$C$9, $C$13, 100%, $E$13) + CHOOSE(CONTROL!$C$28, 0.013, 0)</f>
        <v>66.190400000000011</v>
      </c>
      <c r="C982" s="4">
        <f>65.8141 * CHOOSE(CONTROL!$C$9, $C$13, 100%, $E$13) + CHOOSE(CONTROL!$C$28, 0.013, 0)</f>
        <v>65.827100000000002</v>
      </c>
      <c r="D982" s="4">
        <f>96.468 * CHOOSE(CONTROL!$C$9, $C$13, 100%, $E$13) + CHOOSE(CONTROL!$C$28, 0, 0)</f>
        <v>96.468000000000004</v>
      </c>
      <c r="E982" s="4">
        <f>475.797789087912 * CHOOSE(CONTROL!$C$9, $C$13, 100%, $E$13) + CHOOSE(CONTROL!$C$28, 0, 0)</f>
        <v>475.79778908791201</v>
      </c>
    </row>
    <row r="983" spans="1:5" ht="15">
      <c r="A983" s="13">
        <v>71436</v>
      </c>
      <c r="B983" s="4">
        <f>66.1566 * CHOOSE(CONTROL!$C$9, $C$13, 100%, $E$13) + CHOOSE(CONTROL!$C$28, 0.013, 0)</f>
        <v>66.169600000000003</v>
      </c>
      <c r="C983" s="4">
        <f>65.7933 * CHOOSE(CONTROL!$C$9, $C$13, 100%, $E$13) + CHOOSE(CONTROL!$C$28, 0.013, 0)</f>
        <v>65.806300000000007</v>
      </c>
      <c r="D983" s="4">
        <f>98.0292 * CHOOSE(CONTROL!$C$9, $C$13, 100%, $E$13) + CHOOSE(CONTROL!$C$28, 0, 0)</f>
        <v>98.029200000000003</v>
      </c>
      <c r="E983" s="4">
        <f>475.646453913266 * CHOOSE(CONTROL!$C$9, $C$13, 100%, $E$13) + CHOOSE(CONTROL!$C$28, 0, 0)</f>
        <v>475.64645391326599</v>
      </c>
    </row>
    <row r="984" spans="1:5" ht="15">
      <c r="A984" s="13">
        <v>71467</v>
      </c>
      <c r="B984" s="4">
        <f>67.722 * CHOOSE(CONTROL!$C$9, $C$13, 100%, $E$13) + CHOOSE(CONTROL!$C$28, 0.013, 0)</f>
        <v>67.734999999999999</v>
      </c>
      <c r="C984" s="4">
        <f>67.3587 * CHOOSE(CONTROL!$C$9, $C$13, 100%, $E$13) + CHOOSE(CONTROL!$C$28, 0.013, 0)</f>
        <v>67.371700000000004</v>
      </c>
      <c r="D984" s="4">
        <f>96.9982 * CHOOSE(CONTROL!$C$9, $C$13, 100%, $E$13) + CHOOSE(CONTROL!$C$28, 0, 0)</f>
        <v>96.998199999999997</v>
      </c>
      <c r="E984" s="4">
        <f>487.034425805398 * CHOOSE(CONTROL!$C$9, $C$13, 100%, $E$13) + CHOOSE(CONTROL!$C$28, 0, 0)</f>
        <v>487.03442580539797</v>
      </c>
    </row>
    <row r="985" spans="1:5" ht="15">
      <c r="A985" s="13">
        <v>71497</v>
      </c>
      <c r="B985" s="4">
        <f>65.054 * CHOOSE(CONTROL!$C$9, $C$13, 100%, $E$13) + CHOOSE(CONTROL!$C$28, 0.013, 0)</f>
        <v>65.067000000000007</v>
      </c>
      <c r="C985" s="4">
        <f>64.6908 * CHOOSE(CONTROL!$C$9, $C$13, 100%, $E$13) + CHOOSE(CONTROL!$C$28, 0.013, 0)</f>
        <v>64.703800000000001</v>
      </c>
      <c r="D985" s="4">
        <f>96.511 * CHOOSE(CONTROL!$C$9, $C$13, 100%, $E$13) + CHOOSE(CONTROL!$C$28, 0, 0)</f>
        <v>96.510999999999996</v>
      </c>
      <c r="E985" s="4">
        <f>467.625689657013 * CHOOSE(CONTROL!$C$9, $C$13, 100%, $E$13) + CHOOSE(CONTROL!$C$28, 0, 0)</f>
        <v>467.62568965701303</v>
      </c>
    </row>
    <row r="986" spans="1:5" ht="15">
      <c r="A986" s="13">
        <v>71528</v>
      </c>
      <c r="B986" s="4">
        <f>62.9183 * CHOOSE(CONTROL!$C$9, $C$13, 100%, $E$13) + CHOOSE(CONTROL!$C$28, 0.0003, 0)</f>
        <v>62.918600000000005</v>
      </c>
      <c r="C986" s="4">
        <f>62.555 * CHOOSE(CONTROL!$C$9, $C$13, 100%, $E$13) + CHOOSE(CONTROL!$C$28, 0.0003, 0)</f>
        <v>62.555300000000003</v>
      </c>
      <c r="D986" s="4">
        <f>95.2067 * CHOOSE(CONTROL!$C$9, $C$13, 100%, $E$13) + CHOOSE(CONTROL!$C$28, 0, 0)</f>
        <v>95.206699999999998</v>
      </c>
      <c r="E986" s="4">
        <f>452.088611726661 * CHOOSE(CONTROL!$C$9, $C$13, 100%, $E$13) + CHOOSE(CONTROL!$C$28, 0, 0)</f>
        <v>452.08861172666099</v>
      </c>
    </row>
    <row r="987" spans="1:5" ht="15">
      <c r="A987" s="13">
        <v>71558</v>
      </c>
      <c r="B987" s="4">
        <f>61.5427 * CHOOSE(CONTROL!$C$9, $C$13, 100%, $E$13) + CHOOSE(CONTROL!$C$28, 0.0003, 0)</f>
        <v>61.543000000000006</v>
      </c>
      <c r="C987" s="4">
        <f>61.1794 * CHOOSE(CONTROL!$C$9, $C$13, 100%, $E$13) + CHOOSE(CONTROL!$C$28, 0.0003, 0)</f>
        <v>61.179700000000004</v>
      </c>
      <c r="D987" s="4">
        <f>94.7583 * CHOOSE(CONTROL!$C$9, $C$13, 100%, $E$13) + CHOOSE(CONTROL!$C$28, 0, 0)</f>
        <v>94.758300000000006</v>
      </c>
      <c r="E987" s="4">
        <f>442.081573303175 * CHOOSE(CONTROL!$C$9, $C$13, 100%, $E$13) + CHOOSE(CONTROL!$C$28, 0, 0)</f>
        <v>442.08157330317499</v>
      </c>
    </row>
    <row r="988" spans="1:5" ht="15">
      <c r="A988" s="13">
        <v>71589</v>
      </c>
      <c r="B988" s="4">
        <f>60.591 * CHOOSE(CONTROL!$C$9, $C$13, 100%, $E$13) + CHOOSE(CONTROL!$C$28, 0.0003, 0)</f>
        <v>60.591300000000004</v>
      </c>
      <c r="C988" s="4">
        <f>60.2277 * CHOOSE(CONTROL!$C$9, $C$13, 100%, $E$13) + CHOOSE(CONTROL!$C$28, 0.0003, 0)</f>
        <v>60.228000000000002</v>
      </c>
      <c r="D988" s="4">
        <f>91.457 * CHOOSE(CONTROL!$C$9, $C$13, 100%, $E$13) + CHOOSE(CONTROL!$C$28, 0, 0)</f>
        <v>91.456999999999994</v>
      </c>
      <c r="E988" s="4">
        <f>435.157989063108 * CHOOSE(CONTROL!$C$9, $C$13, 100%, $E$13) + CHOOSE(CONTROL!$C$28, 0, 0)</f>
        <v>435.157989063108</v>
      </c>
    </row>
    <row r="989" spans="1:5" ht="15">
      <c r="A989" s="13">
        <v>71620</v>
      </c>
      <c r="B989" s="4">
        <f>57.9871 * CHOOSE(CONTROL!$C$9, $C$13, 100%, $E$13) + CHOOSE(CONTROL!$C$28, 0.0003, 0)</f>
        <v>57.987400000000001</v>
      </c>
      <c r="C989" s="4">
        <f>57.6238 * CHOOSE(CONTROL!$C$9, $C$13, 100%, $E$13) + CHOOSE(CONTROL!$C$28, 0.0003, 0)</f>
        <v>57.624100000000006</v>
      </c>
      <c r="D989" s="4">
        <f>87.8204 * CHOOSE(CONTROL!$C$9, $C$13, 100%, $E$13) + CHOOSE(CONTROL!$C$28, 0, 0)</f>
        <v>87.820400000000006</v>
      </c>
      <c r="E989" s="4">
        <f>417.031890593253 * CHOOSE(CONTROL!$C$9, $C$13, 100%, $E$13) + CHOOSE(CONTROL!$C$28, 0, 0)</f>
        <v>417.03189059325302</v>
      </c>
    </row>
    <row r="990" spans="1:5" ht="15">
      <c r="A990" s="13">
        <v>71649</v>
      </c>
      <c r="B990" s="4">
        <f>59.3455 * CHOOSE(CONTROL!$C$9, $C$13, 100%, $E$13) + CHOOSE(CONTROL!$C$28, 0.0003, 0)</f>
        <v>59.345800000000004</v>
      </c>
      <c r="C990" s="4">
        <f>58.9823 * CHOOSE(CONTROL!$C$9, $C$13, 100%, $E$13) + CHOOSE(CONTROL!$C$28, 0.0003, 0)</f>
        <v>58.982600000000005</v>
      </c>
      <c r="D990" s="4">
        <f>90.8546 * CHOOSE(CONTROL!$C$9, $C$13, 100%, $E$13) + CHOOSE(CONTROL!$C$28, 0, 0)</f>
        <v>90.854600000000005</v>
      </c>
      <c r="E990" s="4">
        <f>426.933871160851 * CHOOSE(CONTROL!$C$9, $C$13, 100%, $E$13) + CHOOSE(CONTROL!$C$28, 0, 0)</f>
        <v>426.93387116085103</v>
      </c>
    </row>
    <row r="991" spans="1:5" ht="15">
      <c r="A991" s="13">
        <v>71680</v>
      </c>
      <c r="B991" s="4">
        <f>62.913 * CHOOSE(CONTROL!$C$9, $C$13, 100%, $E$13) + CHOOSE(CONTROL!$C$28, 0.0003, 0)</f>
        <v>62.9133</v>
      </c>
      <c r="C991" s="4">
        <f>62.5497 * CHOOSE(CONTROL!$C$9, $C$13, 100%, $E$13) + CHOOSE(CONTROL!$C$28, 0.0003, 0)</f>
        <v>62.550000000000004</v>
      </c>
      <c r="D991" s="4">
        <f>95.6043 * CHOOSE(CONTROL!$C$9, $C$13, 100%, $E$13) + CHOOSE(CONTROL!$C$28, 0, 0)</f>
        <v>95.604299999999995</v>
      </c>
      <c r="E991" s="4">
        <f>452.936998354571 * CHOOSE(CONTROL!$C$9, $C$13, 100%, $E$13) + CHOOSE(CONTROL!$C$28, 0, 0)</f>
        <v>452.93699835457102</v>
      </c>
    </row>
    <row r="992" spans="1:5" ht="15">
      <c r="A992" s="13">
        <v>71710</v>
      </c>
      <c r="B992" s="4">
        <f>65.4477 * CHOOSE(CONTROL!$C$9, $C$13, 100%, $E$13) + CHOOSE(CONTROL!$C$28, 0.0003, 0)</f>
        <v>65.447999999999993</v>
      </c>
      <c r="C992" s="4">
        <f>65.0844 * CHOOSE(CONTROL!$C$9, $C$13, 100%, $E$13) + CHOOSE(CONTROL!$C$28, 0.0003, 0)</f>
        <v>65.084699999999998</v>
      </c>
      <c r="D992" s="4">
        <f>98.3403 * CHOOSE(CONTROL!$C$9, $C$13, 100%, $E$13) + CHOOSE(CONTROL!$C$28, 0, 0)</f>
        <v>98.340299999999999</v>
      </c>
      <c r="E992" s="4">
        <f>471.412566762942 * CHOOSE(CONTROL!$C$9, $C$13, 100%, $E$13) + CHOOSE(CONTROL!$C$28, 0, 0)</f>
        <v>471.41256676294199</v>
      </c>
    </row>
    <row r="993" spans="1:5" ht="15">
      <c r="A993" s="13">
        <v>71741</v>
      </c>
      <c r="B993" s="4">
        <f>66.9963 * CHOOSE(CONTROL!$C$9, $C$13, 100%, $E$13) + CHOOSE(CONTROL!$C$28, 0.013, 0)</f>
        <v>67.00930000000001</v>
      </c>
      <c r="C993" s="4">
        <f>66.633 * CHOOSE(CONTROL!$C$9, $C$13, 100%, $E$13) + CHOOSE(CONTROL!$C$28, 0.013, 0)</f>
        <v>66.646000000000001</v>
      </c>
      <c r="D993" s="4">
        <f>97.2592 * CHOOSE(CONTROL!$C$9, $C$13, 100%, $E$13) + CHOOSE(CONTROL!$C$28, 0, 0)</f>
        <v>97.259200000000007</v>
      </c>
      <c r="E993" s="4">
        <f>482.700696262881 * CHOOSE(CONTROL!$C$9, $C$13, 100%, $E$13) + CHOOSE(CONTROL!$C$28, 0, 0)</f>
        <v>482.70069626288102</v>
      </c>
    </row>
    <row r="994" spans="1:5" ht="15">
      <c r="A994" s="13">
        <v>71771</v>
      </c>
      <c r="B994" s="4">
        <f>67.2059 * CHOOSE(CONTROL!$C$9, $C$13, 100%, $E$13) + CHOOSE(CONTROL!$C$28, 0.013, 0)</f>
        <v>67.218900000000005</v>
      </c>
      <c r="C994" s="4">
        <f>66.8426 * CHOOSE(CONTROL!$C$9, $C$13, 100%, $E$13) + CHOOSE(CONTROL!$C$28, 0.013, 0)</f>
        <v>66.85560000000001</v>
      </c>
      <c r="D994" s="4">
        <f>98.1397 * CHOOSE(CONTROL!$C$9, $C$13, 100%, $E$13) + CHOOSE(CONTROL!$C$28, 0, 0)</f>
        <v>98.139700000000005</v>
      </c>
      <c r="E994" s="4">
        <f>484.228027030922 * CHOOSE(CONTROL!$C$9, $C$13, 100%, $E$13) + CHOOSE(CONTROL!$C$28, 0, 0)</f>
        <v>484.22802703092202</v>
      </c>
    </row>
    <row r="995" spans="1:5" ht="15">
      <c r="A995" s="13">
        <v>71802</v>
      </c>
      <c r="B995" s="4">
        <f>67.1847 * CHOOSE(CONTROL!$C$9, $C$13, 100%, $E$13) + CHOOSE(CONTROL!$C$28, 0.013, 0)</f>
        <v>67.197700000000012</v>
      </c>
      <c r="C995" s="4">
        <f>66.8214 * CHOOSE(CONTROL!$C$9, $C$13, 100%, $E$13) + CHOOSE(CONTROL!$C$28, 0.013, 0)</f>
        <v>66.834400000000002</v>
      </c>
      <c r="D995" s="4">
        <f>99.7285 * CHOOSE(CONTROL!$C$9, $C$13, 100%, $E$13) + CHOOSE(CONTROL!$C$28, 0, 0)</f>
        <v>99.728499999999997</v>
      </c>
      <c r="E995" s="4">
        <f>484.074010482884 * CHOOSE(CONTROL!$C$9, $C$13, 100%, $E$13) + CHOOSE(CONTROL!$C$28, 0, 0)</f>
        <v>484.07401048288398</v>
      </c>
    </row>
    <row r="996" spans="1:5" ht="15">
      <c r="A996" s="13">
        <v>71833</v>
      </c>
      <c r="B996" s="4">
        <f>68.7748 * CHOOSE(CONTROL!$C$9, $C$13, 100%, $E$13) + CHOOSE(CONTROL!$C$28, 0.013, 0)</f>
        <v>68.787800000000004</v>
      </c>
      <c r="C996" s="4">
        <f>68.4115 * CHOOSE(CONTROL!$C$9, $C$13, 100%, $E$13) + CHOOSE(CONTROL!$C$28, 0.013, 0)</f>
        <v>68.424500000000009</v>
      </c>
      <c r="D996" s="4">
        <f>98.6792 * CHOOSE(CONTROL!$C$9, $C$13, 100%, $E$13) + CHOOSE(CONTROL!$C$28, 0, 0)</f>
        <v>98.679199999999994</v>
      </c>
      <c r="E996" s="4">
        <f>495.663755722731 * CHOOSE(CONTROL!$C$9, $C$13, 100%, $E$13) + CHOOSE(CONTROL!$C$28, 0, 0)</f>
        <v>495.66375572273103</v>
      </c>
    </row>
    <row r="997" spans="1:5" ht="15">
      <c r="A997" s="13">
        <v>71863</v>
      </c>
      <c r="B997" s="4">
        <f>66.0648 * CHOOSE(CONTROL!$C$9, $C$13, 100%, $E$13) + CHOOSE(CONTROL!$C$28, 0.013, 0)</f>
        <v>66.077800000000011</v>
      </c>
      <c r="C997" s="4">
        <f>65.7016 * CHOOSE(CONTROL!$C$9, $C$13, 100%, $E$13) + CHOOSE(CONTROL!$C$28, 0.013, 0)</f>
        <v>65.714600000000004</v>
      </c>
      <c r="D997" s="4">
        <f>98.1835 * CHOOSE(CONTROL!$C$9, $C$13, 100%, $E$13) + CHOOSE(CONTROL!$C$28, 0, 0)</f>
        <v>98.183499999999995</v>
      </c>
      <c r="E997" s="4">
        <f>475.91113343688 * CHOOSE(CONTROL!$C$9, $C$13, 100%, $E$13) + CHOOSE(CONTROL!$C$28, 0, 0)</f>
        <v>475.91113343687999</v>
      </c>
    </row>
    <row r="998" spans="1:5" ht="15">
      <c r="A998" s="13">
        <v>71894</v>
      </c>
      <c r="B998" s="4">
        <f>63.8955 * CHOOSE(CONTROL!$C$9, $C$13, 100%, $E$13) + CHOOSE(CONTROL!$C$28, 0.0003, 0)</f>
        <v>63.895800000000001</v>
      </c>
      <c r="C998" s="4">
        <f>63.5322 * CHOOSE(CONTROL!$C$9, $C$13, 100%, $E$13) + CHOOSE(CONTROL!$C$28, 0.0003, 0)</f>
        <v>63.532500000000006</v>
      </c>
      <c r="D998" s="4">
        <f>96.8562 * CHOOSE(CONTROL!$C$9, $C$13, 100%, $E$13) + CHOOSE(CONTROL!$C$28, 0, 0)</f>
        <v>96.856200000000001</v>
      </c>
      <c r="E998" s="4">
        <f>460.09876783833 * CHOOSE(CONTROL!$C$9, $C$13, 100%, $E$13) + CHOOSE(CONTROL!$C$28, 0, 0)</f>
        <v>460.09876783832999</v>
      </c>
    </row>
    <row r="999" spans="1:5" ht="15">
      <c r="A999" s="13">
        <v>71924</v>
      </c>
      <c r="B999" s="4">
        <f>62.4983 * CHOOSE(CONTROL!$C$9, $C$13, 100%, $E$13) + CHOOSE(CONTROL!$C$28, 0.0003, 0)</f>
        <v>62.498600000000003</v>
      </c>
      <c r="C999" s="4">
        <f>62.135 * CHOOSE(CONTROL!$C$9, $C$13, 100%, $E$13) + CHOOSE(CONTROL!$C$28, 0.0003, 0)</f>
        <v>62.135300000000001</v>
      </c>
      <c r="D999" s="4">
        <f>96.3998 * CHOOSE(CONTROL!$C$9, $C$13, 100%, $E$13) + CHOOSE(CONTROL!$C$28, 0, 0)</f>
        <v>96.399799999999999</v>
      </c>
      <c r="E999" s="4">
        <f>449.914423599328 * CHOOSE(CONTROL!$C$9, $C$13, 100%, $E$13) + CHOOSE(CONTROL!$C$28, 0, 0)</f>
        <v>449.91442359932802</v>
      </c>
    </row>
    <row r="1000" spans="1:5" ht="15">
      <c r="A1000" s="13">
        <v>71955</v>
      </c>
      <c r="B1000" s="4">
        <f>61.5316 * CHOOSE(CONTROL!$C$9, $C$13, 100%, $E$13) + CHOOSE(CONTROL!$C$28, 0.0003, 0)</f>
        <v>61.5319</v>
      </c>
      <c r="C1000" s="4">
        <f>61.1683 * CHOOSE(CONTROL!$C$9, $C$13, 100%, $E$13) + CHOOSE(CONTROL!$C$28, 0.0003, 0)</f>
        <v>61.168600000000005</v>
      </c>
      <c r="D1000" s="4">
        <f>93.0402 * CHOOSE(CONTROL!$C$9, $C$13, 100%, $E$13) + CHOOSE(CONTROL!$C$28, 0, 0)</f>
        <v>93.040199999999999</v>
      </c>
      <c r="E1000" s="4">
        <f>442.868166526598 * CHOOSE(CONTROL!$C$9, $C$13, 100%, $E$13) + CHOOSE(CONTROL!$C$28, 0, 0)</f>
        <v>442.86816652659797</v>
      </c>
    </row>
    <row r="1001" spans="1:5" ht="15">
      <c r="A1001" s="13">
        <v>71986</v>
      </c>
      <c r="B1001" s="4">
        <f>58.8867 * CHOOSE(CONTROL!$C$9, $C$13, 100%, $E$13) + CHOOSE(CONTROL!$C$28, 0.0003, 0)</f>
        <v>58.887</v>
      </c>
      <c r="C1001" s="4">
        <f>58.5235 * CHOOSE(CONTROL!$C$9, $C$13, 100%, $E$13) + CHOOSE(CONTROL!$C$28, 0.0003, 0)</f>
        <v>58.523800000000001</v>
      </c>
      <c r="D1001" s="4">
        <f>89.3393 * CHOOSE(CONTROL!$C$9, $C$13, 100%, $E$13) + CHOOSE(CONTROL!$C$28, 0, 0)</f>
        <v>89.339299999999994</v>
      </c>
      <c r="E1001" s="4">
        <f>424.420907835775 * CHOOSE(CONTROL!$C$9, $C$13, 100%, $E$13) + CHOOSE(CONTROL!$C$28, 0, 0)</f>
        <v>424.42090783577498</v>
      </c>
    </row>
    <row r="1002" spans="1:5" ht="15">
      <c r="A1002" s="13">
        <v>72014</v>
      </c>
      <c r="B1002" s="4">
        <f>60.2666 * CHOOSE(CONTROL!$C$9, $C$13, 100%, $E$13) + CHOOSE(CONTROL!$C$28, 0.0003, 0)</f>
        <v>60.2669</v>
      </c>
      <c r="C1002" s="4">
        <f>59.9033 * CHOOSE(CONTROL!$C$9, $C$13, 100%, $E$13) + CHOOSE(CONTROL!$C$28, 0.0003, 0)</f>
        <v>59.903600000000004</v>
      </c>
      <c r="D1002" s="4">
        <f>92.4271 * CHOOSE(CONTROL!$C$9, $C$13, 100%, $E$13) + CHOOSE(CONTROL!$C$28, 0, 0)</f>
        <v>92.427099999999996</v>
      </c>
      <c r="E1002" s="4">
        <f>434.498332792159 * CHOOSE(CONTROL!$C$9, $C$13, 100%, $E$13) + CHOOSE(CONTROL!$C$28, 0, 0)</f>
        <v>434.49833279215898</v>
      </c>
    </row>
    <row r="1003" spans="1:5" ht="15">
      <c r="A1003" s="13">
        <v>72045</v>
      </c>
      <c r="B1003" s="4">
        <f>63.8901 * CHOOSE(CONTROL!$C$9, $C$13, 100%, $E$13) + CHOOSE(CONTROL!$C$28, 0.0003, 0)</f>
        <v>63.8904</v>
      </c>
      <c r="C1003" s="4">
        <f>63.5268 * CHOOSE(CONTROL!$C$9, $C$13, 100%, $E$13) + CHOOSE(CONTROL!$C$28, 0.0003, 0)</f>
        <v>63.527100000000004</v>
      </c>
      <c r="D1003" s="4">
        <f>97.2608 * CHOOSE(CONTROL!$C$9, $C$13, 100%, $E$13) + CHOOSE(CONTROL!$C$28, 0, 0)</f>
        <v>97.260800000000003</v>
      </c>
      <c r="E1003" s="4">
        <f>460.96218627451 * CHOOSE(CONTROL!$C$9, $C$13, 100%, $E$13) + CHOOSE(CONTROL!$C$28, 0, 0)</f>
        <v>460.96218627450997</v>
      </c>
    </row>
    <row r="1004" spans="1:5" ht="15">
      <c r="A1004" s="13">
        <v>72075</v>
      </c>
      <c r="B1004" s="4">
        <f>66.4647 * CHOOSE(CONTROL!$C$9, $C$13, 100%, $E$13) + CHOOSE(CONTROL!$C$28, 0.0003, 0)</f>
        <v>66.464999999999989</v>
      </c>
      <c r="C1004" s="4">
        <f>66.1014 * CHOOSE(CONTROL!$C$9, $C$13, 100%, $E$13) + CHOOSE(CONTROL!$C$28, 0.0003, 0)</f>
        <v>66.101699999999994</v>
      </c>
      <c r="D1004" s="4">
        <f>100.0451 * CHOOSE(CONTROL!$C$9, $C$13, 100%, $E$13) + CHOOSE(CONTROL!$C$28, 0, 0)</f>
        <v>100.04510000000001</v>
      </c>
      <c r="E1004" s="4">
        <f>479.765106850938 * CHOOSE(CONTROL!$C$9, $C$13, 100%, $E$13) + CHOOSE(CONTROL!$C$28, 0, 0)</f>
        <v>479.76510685093803</v>
      </c>
    </row>
    <row r="1005" spans="1:5" ht="15">
      <c r="A1005" s="13">
        <v>72106</v>
      </c>
      <c r="B1005" s="4">
        <f>68.0377 * CHOOSE(CONTROL!$C$9, $C$13, 100%, $E$13) + CHOOSE(CONTROL!$C$28, 0.013, 0)</f>
        <v>68.050700000000006</v>
      </c>
      <c r="C1005" s="4">
        <f>67.6744 * CHOOSE(CONTROL!$C$9, $C$13, 100%, $E$13) + CHOOSE(CONTROL!$C$28, 0.013, 0)</f>
        <v>67.687400000000011</v>
      </c>
      <c r="D1005" s="4">
        <f>98.9449 * CHOOSE(CONTROL!$C$9, $C$13, 100%, $E$13) + CHOOSE(CONTROL!$C$28, 0, 0)</f>
        <v>98.944900000000004</v>
      </c>
      <c r="E1005" s="4">
        <f>491.253240680024 * CHOOSE(CONTROL!$C$9, $C$13, 100%, $E$13) + CHOOSE(CONTROL!$C$28, 0, 0)</f>
        <v>491.25324068002402</v>
      </c>
    </row>
    <row r="1006" spans="1:5" ht="15">
      <c r="A1006" s="13">
        <v>72136</v>
      </c>
      <c r="B1006" s="4">
        <f>68.2505 * CHOOSE(CONTROL!$C$9, $C$13, 100%, $E$13) + CHOOSE(CONTROL!$C$28, 0.013, 0)</f>
        <v>68.263500000000008</v>
      </c>
      <c r="C1006" s="4">
        <f>67.8872 * CHOOSE(CONTROL!$C$9, $C$13, 100%, $E$13) + CHOOSE(CONTROL!$C$28, 0.013, 0)</f>
        <v>67.900200000000012</v>
      </c>
      <c r="D1006" s="4">
        <f>99.8409 * CHOOSE(CONTROL!$C$9, $C$13, 100%, $E$13) + CHOOSE(CONTROL!$C$28, 0, 0)</f>
        <v>99.840900000000005</v>
      </c>
      <c r="E1006" s="4">
        <f>492.807632863834 * CHOOSE(CONTROL!$C$9, $C$13, 100%, $E$13) + CHOOSE(CONTROL!$C$28, 0, 0)</f>
        <v>492.80763286383399</v>
      </c>
    </row>
    <row r="1007" spans="1:5" ht="15">
      <c r="A1007" s="13">
        <v>72167</v>
      </c>
      <c r="B1007" s="4">
        <f>68.229 * CHOOSE(CONTROL!$C$9, $C$13, 100%, $E$13) + CHOOSE(CONTROL!$C$28, 0.013, 0)</f>
        <v>68.242000000000004</v>
      </c>
      <c r="C1007" s="4">
        <f>67.8658 * CHOOSE(CONTROL!$C$9, $C$13, 100%, $E$13) + CHOOSE(CONTROL!$C$28, 0.013, 0)</f>
        <v>67.878799999999998</v>
      </c>
      <c r="D1007" s="4">
        <f>101.4578 * CHOOSE(CONTROL!$C$9, $C$13, 100%, $E$13) + CHOOSE(CONTROL!$C$28, 0, 0)</f>
        <v>101.45780000000001</v>
      </c>
      <c r="E1007" s="4">
        <f>492.650887433534 * CHOOSE(CONTROL!$C$9, $C$13, 100%, $E$13) + CHOOSE(CONTROL!$C$28, 0, 0)</f>
        <v>492.65088743353402</v>
      </c>
    </row>
    <row r="1008" spans="1:5" ht="15">
      <c r="A1008" s="13">
        <v>72198</v>
      </c>
      <c r="B1008" s="4">
        <f>69.8441 * CHOOSE(CONTROL!$C$9, $C$13, 100%, $E$13) + CHOOSE(CONTROL!$C$28, 0.013, 0)</f>
        <v>69.857100000000003</v>
      </c>
      <c r="C1008" s="4">
        <f>69.4808 * CHOOSE(CONTROL!$C$9, $C$13, 100%, $E$13) + CHOOSE(CONTROL!$C$28, 0.013, 0)</f>
        <v>69.493800000000007</v>
      </c>
      <c r="D1008" s="4">
        <f>100.39 * CHOOSE(CONTROL!$C$9, $C$13, 100%, $E$13) + CHOOSE(CONTROL!$C$28, 0, 0)</f>
        <v>100.39</v>
      </c>
      <c r="E1008" s="4">
        <f>504.445981063624 * CHOOSE(CONTROL!$C$9, $C$13, 100%, $E$13) + CHOOSE(CONTROL!$C$28, 0, 0)</f>
        <v>504.445981063624</v>
      </c>
    </row>
    <row r="1009" spans="1:5" ht="15">
      <c r="A1009" s="13">
        <v>72228</v>
      </c>
      <c r="B1009" s="4">
        <f>67.0915 * CHOOSE(CONTROL!$C$9, $C$13, 100%, $E$13) + CHOOSE(CONTROL!$C$28, 0.013, 0)</f>
        <v>67.104500000000002</v>
      </c>
      <c r="C1009" s="4">
        <f>66.7283 * CHOOSE(CONTROL!$C$9, $C$13, 100%, $E$13) + CHOOSE(CONTROL!$C$28, 0.013, 0)</f>
        <v>66.74130000000001</v>
      </c>
      <c r="D1009" s="4">
        <f>99.8855 * CHOOSE(CONTROL!$C$9, $C$13, 100%, $E$13) + CHOOSE(CONTROL!$C$28, 0, 0)</f>
        <v>99.885499999999993</v>
      </c>
      <c r="E1009" s="4">
        <f>484.343379627623 * CHOOSE(CONTROL!$C$9, $C$13, 100%, $E$13) + CHOOSE(CONTROL!$C$28, 0, 0)</f>
        <v>484.34337962762299</v>
      </c>
    </row>
    <row r="1010" spans="1:5" ht="15">
      <c r="A1010" s="13">
        <v>72259</v>
      </c>
      <c r="B1010" s="4">
        <f>64.8881 * CHOOSE(CONTROL!$C$9, $C$13, 100%, $E$13) + CHOOSE(CONTROL!$C$28, 0.0003, 0)</f>
        <v>64.88839999999999</v>
      </c>
      <c r="C1010" s="4">
        <f>64.5248 * CHOOSE(CONTROL!$C$9, $C$13, 100%, $E$13) + CHOOSE(CONTROL!$C$28, 0.0003, 0)</f>
        <v>64.525099999999995</v>
      </c>
      <c r="D1010" s="4">
        <f>98.5347 * CHOOSE(CONTROL!$C$9, $C$13, 100%, $E$13) + CHOOSE(CONTROL!$C$28, 0, 0)</f>
        <v>98.534700000000001</v>
      </c>
      <c r="E1010" s="4">
        <f>468.250848783469 * CHOOSE(CONTROL!$C$9, $C$13, 100%, $E$13) + CHOOSE(CONTROL!$C$28, 0, 0)</f>
        <v>468.250848783469</v>
      </c>
    </row>
    <row r="1011" spans="1:5" ht="15">
      <c r="A1011" s="13">
        <v>72289</v>
      </c>
      <c r="B1011" s="4">
        <f>63.4689 * CHOOSE(CONTROL!$C$9, $C$13, 100%, $E$13) + CHOOSE(CONTROL!$C$28, 0.0003, 0)</f>
        <v>63.469200000000001</v>
      </c>
      <c r="C1011" s="4">
        <f>63.1056 * CHOOSE(CONTROL!$C$9, $C$13, 100%, $E$13) + CHOOSE(CONTROL!$C$28, 0.0003, 0)</f>
        <v>63.105900000000005</v>
      </c>
      <c r="D1011" s="4">
        <f>98.0703 * CHOOSE(CONTROL!$C$9, $C$13, 100%, $E$13) + CHOOSE(CONTROL!$C$28, 0, 0)</f>
        <v>98.070300000000003</v>
      </c>
      <c r="E1011" s="4">
        <f>457.886057204868 * CHOOSE(CONTROL!$C$9, $C$13, 100%, $E$13) + CHOOSE(CONTROL!$C$28, 0, 0)</f>
        <v>457.886057204868</v>
      </c>
    </row>
    <row r="1012" spans="1:5" ht="15">
      <c r="A1012" s="13">
        <v>72320</v>
      </c>
      <c r="B1012" s="4">
        <f>62.487 * CHOOSE(CONTROL!$C$9, $C$13, 100%, $E$13) + CHOOSE(CONTROL!$C$28, 0.0003, 0)</f>
        <v>62.487300000000005</v>
      </c>
      <c r="C1012" s="4">
        <f>62.1237 * CHOOSE(CONTROL!$C$9, $C$13, 100%, $E$13) + CHOOSE(CONTROL!$C$28, 0.0003, 0)</f>
        <v>62.124000000000002</v>
      </c>
      <c r="D1012" s="4">
        <f>94.6513 * CHOOSE(CONTROL!$C$9, $C$13, 100%, $E$13) + CHOOSE(CONTROL!$C$28, 0, 0)</f>
        <v>94.651300000000006</v>
      </c>
      <c r="E1012" s="4">
        <f>450.714953768634 * CHOOSE(CONTROL!$C$9, $C$13, 100%, $E$13) + CHOOSE(CONTROL!$C$28, 0, 0)</f>
        <v>450.71495376863402</v>
      </c>
    </row>
    <row r="1013" spans="1:5" ht="15">
      <c r="A1013" s="13">
        <v>72351</v>
      </c>
      <c r="B1013" s="4">
        <f>59.8006 * CHOOSE(CONTROL!$C$9, $C$13, 100%, $E$13) + CHOOSE(CONTROL!$C$28, 0.0003, 0)</f>
        <v>59.800900000000006</v>
      </c>
      <c r="C1013" s="4">
        <f>59.4373 * CHOOSE(CONTROL!$C$9, $C$13, 100%, $E$13) + CHOOSE(CONTROL!$C$28, 0.0003, 0)</f>
        <v>59.437600000000003</v>
      </c>
      <c r="D1013" s="4">
        <f>90.8851 * CHOOSE(CONTROL!$C$9, $C$13, 100%, $E$13) + CHOOSE(CONTROL!$C$28, 0, 0)</f>
        <v>90.885099999999994</v>
      </c>
      <c r="E1013" s="4">
        <f>431.940844504466 * CHOOSE(CONTROL!$C$9, $C$13, 100%, $E$13) + CHOOSE(CONTROL!$C$28, 0, 0)</f>
        <v>431.94084450446599</v>
      </c>
    </row>
    <row r="1014" spans="1:5" ht="15">
      <c r="A1014" s="13">
        <v>72379</v>
      </c>
      <c r="B1014" s="4">
        <f>61.2021 * CHOOSE(CONTROL!$C$9, $C$13, 100%, $E$13) + CHOOSE(CONTROL!$C$28, 0.0003, 0)</f>
        <v>61.202400000000004</v>
      </c>
      <c r="C1014" s="4">
        <f>60.8388 * CHOOSE(CONTROL!$C$9, $C$13, 100%, $E$13) + CHOOSE(CONTROL!$C$28, 0.0003, 0)</f>
        <v>60.839100000000002</v>
      </c>
      <c r="D1014" s="4">
        <f>94.0274 * CHOOSE(CONTROL!$C$9, $C$13, 100%, $E$13) + CHOOSE(CONTROL!$C$28, 0, 0)</f>
        <v>94.0274</v>
      </c>
      <c r="E1014" s="4">
        <f>442.196822392754 * CHOOSE(CONTROL!$C$9, $C$13, 100%, $E$13) + CHOOSE(CONTROL!$C$28, 0, 0)</f>
        <v>442.19682239275397</v>
      </c>
    </row>
    <row r="1015" spans="1:5" ht="15">
      <c r="A1015" s="13">
        <v>72410</v>
      </c>
      <c r="B1015" s="4">
        <f>64.8826 * CHOOSE(CONTROL!$C$9, $C$13, 100%, $E$13) + CHOOSE(CONTROL!$C$28, 0.0003, 0)</f>
        <v>64.882899999999992</v>
      </c>
      <c r="C1015" s="4">
        <f>64.5193 * CHOOSE(CONTROL!$C$9, $C$13, 100%, $E$13) + CHOOSE(CONTROL!$C$28, 0.0003, 0)</f>
        <v>64.519599999999997</v>
      </c>
      <c r="D1015" s="4">
        <f>98.9465 * CHOOSE(CONTROL!$C$9, $C$13, 100%, $E$13) + CHOOSE(CONTROL!$C$28, 0, 0)</f>
        <v>98.9465</v>
      </c>
      <c r="E1015" s="4">
        <f>469.129565363164 * CHOOSE(CONTROL!$C$9, $C$13, 100%, $E$13) + CHOOSE(CONTROL!$C$28, 0, 0)</f>
        <v>469.12956536316398</v>
      </c>
    </row>
    <row r="1016" spans="1:5" ht="15">
      <c r="A1016" s="13">
        <v>72440</v>
      </c>
      <c r="B1016" s="4">
        <f>67.4977 * CHOOSE(CONTROL!$C$9, $C$13, 100%, $E$13) + CHOOSE(CONTROL!$C$28, 0.0003, 0)</f>
        <v>67.49799999999999</v>
      </c>
      <c r="C1016" s="4">
        <f>67.1344 * CHOOSE(CONTROL!$C$9, $C$13, 100%, $E$13) + CHOOSE(CONTROL!$C$28, 0.0003, 0)</f>
        <v>67.134699999999995</v>
      </c>
      <c r="D1016" s="4">
        <f>101.78 * CHOOSE(CONTROL!$C$9, $C$13, 100%, $E$13) + CHOOSE(CONTROL!$C$28, 0, 0)</f>
        <v>101.78</v>
      </c>
      <c r="E1016" s="4">
        <f>488.265638169632 * CHOOSE(CONTROL!$C$9, $C$13, 100%, $E$13) + CHOOSE(CONTROL!$C$28, 0, 0)</f>
        <v>488.26563816963198</v>
      </c>
    </row>
    <row r="1017" spans="1:5" ht="15">
      <c r="A1017" s="13">
        <v>72471</v>
      </c>
      <c r="B1017" s="4">
        <f>69.0954 * CHOOSE(CONTROL!$C$9, $C$13, 100%, $E$13) + CHOOSE(CONTROL!$C$28, 0.013, 0)</f>
        <v>69.108400000000003</v>
      </c>
      <c r="C1017" s="4">
        <f>68.7321 * CHOOSE(CONTROL!$C$9, $C$13, 100%, $E$13) + CHOOSE(CONTROL!$C$28, 0.013, 0)</f>
        <v>68.745100000000008</v>
      </c>
      <c r="D1017" s="4">
        <f>100.6604 * CHOOSE(CONTROL!$C$9, $C$13, 100%, $E$13) + CHOOSE(CONTROL!$C$28, 0, 0)</f>
        <v>100.6604</v>
      </c>
      <c r="E1017" s="4">
        <f>499.957320026728 * CHOOSE(CONTROL!$C$9, $C$13, 100%, $E$13) + CHOOSE(CONTROL!$C$28, 0, 0)</f>
        <v>499.95732002672798</v>
      </c>
    </row>
    <row r="1018" spans="1:5" ht="15">
      <c r="A1018" s="13">
        <v>72501</v>
      </c>
      <c r="B1018" s="4">
        <f>69.3116 * CHOOSE(CONTROL!$C$9, $C$13, 100%, $E$13) + CHOOSE(CONTROL!$C$28, 0.013, 0)</f>
        <v>69.324600000000004</v>
      </c>
      <c r="C1018" s="4">
        <f>68.9483 * CHOOSE(CONTROL!$C$9, $C$13, 100%, $E$13) + CHOOSE(CONTROL!$C$28, 0.013, 0)</f>
        <v>68.961300000000008</v>
      </c>
      <c r="D1018" s="4">
        <f>101.5722 * CHOOSE(CONTROL!$C$9, $C$13, 100%, $E$13) + CHOOSE(CONTROL!$C$28, 0, 0)</f>
        <v>101.5722</v>
      </c>
      <c r="E1018" s="4">
        <f>501.539253103469 * CHOOSE(CONTROL!$C$9, $C$13, 100%, $E$13) + CHOOSE(CONTROL!$C$28, 0, 0)</f>
        <v>501.53925310346898</v>
      </c>
    </row>
    <row r="1019" spans="1:5" ht="15">
      <c r="A1019" s="13">
        <v>72532</v>
      </c>
      <c r="B1019" s="4">
        <f>69.2898 * CHOOSE(CONTROL!$C$9, $C$13, 100%, $E$13) + CHOOSE(CONTROL!$C$28, 0.013, 0)</f>
        <v>69.302800000000005</v>
      </c>
      <c r="C1019" s="4">
        <f>68.9265 * CHOOSE(CONTROL!$C$9, $C$13, 100%, $E$13) + CHOOSE(CONTROL!$C$28, 0.013, 0)</f>
        <v>68.93950000000001</v>
      </c>
      <c r="D1019" s="4">
        <f>103.2176 * CHOOSE(CONTROL!$C$9, $C$13, 100%, $E$13) + CHOOSE(CONTROL!$C$28, 0, 0)</f>
        <v>103.2176</v>
      </c>
      <c r="E1019" s="4">
        <f>501.379730440269 * CHOOSE(CONTROL!$C$9, $C$13, 100%, $E$13) + CHOOSE(CONTROL!$C$28, 0, 0)</f>
        <v>501.37973044026899</v>
      </c>
    </row>
    <row r="1020" spans="1:5" ht="15">
      <c r="A1020" s="13">
        <v>72563</v>
      </c>
      <c r="B1020" s="4">
        <f>70.9302 * CHOOSE(CONTROL!$C$9, $C$13, 100%, $E$13) + CHOOSE(CONTROL!$C$28, 0.013, 0)</f>
        <v>70.943200000000004</v>
      </c>
      <c r="C1020" s="4">
        <f>70.5669 * CHOOSE(CONTROL!$C$9, $C$13, 100%, $E$13) + CHOOSE(CONTROL!$C$28, 0.013, 0)</f>
        <v>70.579900000000009</v>
      </c>
      <c r="D1020" s="4">
        <f>102.131 * CHOOSE(CONTROL!$C$9, $C$13, 100%, $E$13) + CHOOSE(CONTROL!$C$28, 0, 0)</f>
        <v>102.131</v>
      </c>
      <c r="E1020" s="4">
        <f>513.383810846133 * CHOOSE(CONTROL!$C$9, $C$13, 100%, $E$13) + CHOOSE(CONTROL!$C$28, 0, 0)</f>
        <v>513.38381084613297</v>
      </c>
    </row>
    <row r="1021" spans="1:5" ht="15">
      <c r="A1021" s="13">
        <v>72593</v>
      </c>
      <c r="B1021" s="4">
        <f>68.1344 * CHOOSE(CONTROL!$C$9, $C$13, 100%, $E$13) + CHOOSE(CONTROL!$C$28, 0.013, 0)</f>
        <v>68.147400000000005</v>
      </c>
      <c r="C1021" s="4">
        <f>67.7711 * CHOOSE(CONTROL!$C$9, $C$13, 100%, $E$13) + CHOOSE(CONTROL!$C$28, 0.013, 0)</f>
        <v>67.784100000000009</v>
      </c>
      <c r="D1021" s="4">
        <f>101.6176 * CHOOSE(CONTROL!$C$9, $C$13, 100%, $E$13) + CHOOSE(CONTROL!$C$28, 0, 0)</f>
        <v>101.6176</v>
      </c>
      <c r="E1021" s="4">
        <f>492.925029290624 * CHOOSE(CONTROL!$C$9, $C$13, 100%, $E$13) + CHOOSE(CONTROL!$C$28, 0, 0)</f>
        <v>492.92502929062402</v>
      </c>
    </row>
    <row r="1022" spans="1:5" ht="15">
      <c r="A1022" s="13">
        <v>72624</v>
      </c>
      <c r="B1022" s="4">
        <f>65.8963 * CHOOSE(CONTROL!$C$9, $C$13, 100%, $E$13) + CHOOSE(CONTROL!$C$28, 0.0003, 0)</f>
        <v>65.896599999999992</v>
      </c>
      <c r="C1022" s="4">
        <f>65.533 * CHOOSE(CONTROL!$C$9, $C$13, 100%, $E$13) + CHOOSE(CONTROL!$C$28, 0.0003, 0)</f>
        <v>65.533299999999997</v>
      </c>
      <c r="D1022" s="4">
        <f>100.2429 * CHOOSE(CONTROL!$C$9, $C$13, 100%, $E$13) + CHOOSE(CONTROL!$C$28, 0, 0)</f>
        <v>100.24290000000001</v>
      </c>
      <c r="E1022" s="4">
        <f>476.547369202003 * CHOOSE(CONTROL!$C$9, $C$13, 100%, $E$13) + CHOOSE(CONTROL!$C$28, 0, 0)</f>
        <v>476.54736920200298</v>
      </c>
    </row>
    <row r="1023" spans="1:5" ht="15">
      <c r="A1023" s="13">
        <v>72654</v>
      </c>
      <c r="B1023" s="4">
        <f>64.4548 * CHOOSE(CONTROL!$C$9, $C$13, 100%, $E$13) + CHOOSE(CONTROL!$C$28, 0.0003, 0)</f>
        <v>64.455100000000002</v>
      </c>
      <c r="C1023" s="4">
        <f>64.0915 * CHOOSE(CONTROL!$C$9, $C$13, 100%, $E$13) + CHOOSE(CONTROL!$C$28, 0.0003, 0)</f>
        <v>64.091799999999992</v>
      </c>
      <c r="D1023" s="4">
        <f>99.7703 * CHOOSE(CONTROL!$C$9, $C$13, 100%, $E$13) + CHOOSE(CONTROL!$C$28, 0, 0)</f>
        <v>99.770300000000006</v>
      </c>
      <c r="E1023" s="4">
        <f>465.998933097847 * CHOOSE(CONTROL!$C$9, $C$13, 100%, $E$13) + CHOOSE(CONTROL!$C$28, 0, 0)</f>
        <v>465.99893309784699</v>
      </c>
    </row>
    <row r="1024" spans="1:5" ht="15">
      <c r="A1024" s="13">
        <v>72685</v>
      </c>
      <c r="B1024" s="4">
        <f>63.4575 * CHOOSE(CONTROL!$C$9, $C$13, 100%, $E$13) + CHOOSE(CONTROL!$C$28, 0.0003, 0)</f>
        <v>63.457800000000006</v>
      </c>
      <c r="C1024" s="4">
        <f>63.0942 * CHOOSE(CONTROL!$C$9, $C$13, 100%, $E$13) + CHOOSE(CONTROL!$C$28, 0.0003, 0)</f>
        <v>63.094500000000004</v>
      </c>
      <c r="D1024" s="4">
        <f>96.2909 * CHOOSE(CONTROL!$C$9, $C$13, 100%, $E$13) + CHOOSE(CONTROL!$C$28, 0, 0)</f>
        <v>96.290899999999993</v>
      </c>
      <c r="E1024" s="4">
        <f>458.700771256408 * CHOOSE(CONTROL!$C$9, $C$13, 100%, $E$13) + CHOOSE(CONTROL!$C$28, 0, 0)</f>
        <v>458.70077125640802</v>
      </c>
    </row>
    <row r="1025" spans="1:5" ht="15">
      <c r="A1025" s="13">
        <v>72716</v>
      </c>
      <c r="B1025" s="4">
        <f>60.7288 * CHOOSE(CONTROL!$C$9, $C$13, 100%, $E$13) + CHOOSE(CONTROL!$C$28, 0.0003, 0)</f>
        <v>60.729100000000003</v>
      </c>
      <c r="C1025" s="4">
        <f>60.3655 * CHOOSE(CONTROL!$C$9, $C$13, 100%, $E$13) + CHOOSE(CONTROL!$C$28, 0.0003, 0)</f>
        <v>60.3658</v>
      </c>
      <c r="D1025" s="4">
        <f>92.4581 * CHOOSE(CONTROL!$C$9, $C$13, 100%, $E$13) + CHOOSE(CONTROL!$C$28, 0, 0)</f>
        <v>92.458100000000002</v>
      </c>
      <c r="E1025" s="4">
        <f>439.594020244223 * CHOOSE(CONTROL!$C$9, $C$13, 100%, $E$13) + CHOOSE(CONTROL!$C$28, 0, 0)</f>
        <v>439.59402024422297</v>
      </c>
    </row>
    <row r="1026" spans="1:5" ht="15">
      <c r="A1026" s="13">
        <v>72744</v>
      </c>
      <c r="B1026" s="4">
        <f>62.1523 * CHOOSE(CONTROL!$C$9, $C$13, 100%, $E$13) + CHOOSE(CONTROL!$C$28, 0.0003, 0)</f>
        <v>62.1526</v>
      </c>
      <c r="C1026" s="4">
        <f>61.7891 * CHOOSE(CONTROL!$C$9, $C$13, 100%, $E$13) + CHOOSE(CONTROL!$C$28, 0.0003, 0)</f>
        <v>61.789400000000001</v>
      </c>
      <c r="D1026" s="4">
        <f>95.656 * CHOOSE(CONTROL!$C$9, $C$13, 100%, $E$13) + CHOOSE(CONTROL!$C$28, 0, 0)</f>
        <v>95.656000000000006</v>
      </c>
      <c r="E1026" s="4">
        <f>450.031714685045 * CHOOSE(CONTROL!$C$9, $C$13, 100%, $E$13) + CHOOSE(CONTROL!$C$28, 0, 0)</f>
        <v>450.03171468504502</v>
      </c>
    </row>
    <row r="1027" spans="1:5" ht="15">
      <c r="A1027" s="13">
        <v>72775</v>
      </c>
      <c r="B1027" s="4">
        <f>65.8907 * CHOOSE(CONTROL!$C$9, $C$13, 100%, $E$13) + CHOOSE(CONTROL!$C$28, 0.0003, 0)</f>
        <v>65.890999999999991</v>
      </c>
      <c r="C1027" s="4">
        <f>65.5274 * CHOOSE(CONTROL!$C$9, $C$13, 100%, $E$13) + CHOOSE(CONTROL!$C$28, 0.0003, 0)</f>
        <v>65.527699999999996</v>
      </c>
      <c r="D1027" s="4">
        <f>100.662 * CHOOSE(CONTROL!$C$9, $C$13, 100%, $E$13) + CHOOSE(CONTROL!$C$28, 0, 0)</f>
        <v>100.66200000000001</v>
      </c>
      <c r="E1027" s="4">
        <f>477.441654979414 * CHOOSE(CONTROL!$C$9, $C$13, 100%, $E$13) + CHOOSE(CONTROL!$C$28, 0, 0)</f>
        <v>477.44165497941401</v>
      </c>
    </row>
    <row r="1028" spans="1:5" ht="15">
      <c r="A1028" s="13">
        <v>72805</v>
      </c>
      <c r="B1028" s="4">
        <f>68.5469 * CHOOSE(CONTROL!$C$9, $C$13, 100%, $E$13) + CHOOSE(CONTROL!$C$28, 0.0003, 0)</f>
        <v>68.547199999999989</v>
      </c>
      <c r="C1028" s="4">
        <f>68.1836 * CHOOSE(CONTROL!$C$9, $C$13, 100%, $E$13) + CHOOSE(CONTROL!$C$28, 0.0003, 0)</f>
        <v>68.183899999999994</v>
      </c>
      <c r="D1028" s="4">
        <f>103.5456 * CHOOSE(CONTROL!$C$9, $C$13, 100%, $E$13) + CHOOSE(CONTROL!$C$28, 0, 0)</f>
        <v>103.54559999999999</v>
      </c>
      <c r="E1028" s="4">
        <f>496.916782844046 * CHOOSE(CONTROL!$C$9, $C$13, 100%, $E$13) + CHOOSE(CONTROL!$C$28, 0, 0)</f>
        <v>496.916782844046</v>
      </c>
    </row>
    <row r="1029" spans="1:5" ht="15">
      <c r="A1029" s="13">
        <v>72836</v>
      </c>
      <c r="B1029" s="4">
        <f>70.1698 * CHOOSE(CONTROL!$C$9, $C$13, 100%, $E$13) + CHOOSE(CONTROL!$C$28, 0.013, 0)</f>
        <v>70.1828</v>
      </c>
      <c r="C1029" s="4">
        <f>69.8065 * CHOOSE(CONTROL!$C$9, $C$13, 100%, $E$13) + CHOOSE(CONTROL!$C$28, 0.013, 0)</f>
        <v>69.819500000000005</v>
      </c>
      <c r="D1029" s="4">
        <f>102.4061 * CHOOSE(CONTROL!$C$9, $C$13, 100%, $E$13) + CHOOSE(CONTROL!$C$28, 0, 0)</f>
        <v>102.4061</v>
      </c>
      <c r="E1029" s="4">
        <f>508.815619215664 * CHOOSE(CONTROL!$C$9, $C$13, 100%, $E$13) + CHOOSE(CONTROL!$C$28, 0, 0)</f>
        <v>508.81561921566401</v>
      </c>
    </row>
    <row r="1030" spans="1:5" ht="15">
      <c r="A1030" s="13">
        <v>72866</v>
      </c>
      <c r="B1030" s="4">
        <f>70.3893 * CHOOSE(CONTROL!$C$9, $C$13, 100%, $E$13) + CHOOSE(CONTROL!$C$28, 0.013, 0)</f>
        <v>70.402300000000011</v>
      </c>
      <c r="C1030" s="4">
        <f>70.0261 * CHOOSE(CONTROL!$C$9, $C$13, 100%, $E$13) + CHOOSE(CONTROL!$C$28, 0.013, 0)</f>
        <v>70.039100000000005</v>
      </c>
      <c r="D1030" s="4">
        <f>103.3341 * CHOOSE(CONTROL!$C$9, $C$13, 100%, $E$13) + CHOOSE(CONTROL!$C$28, 0, 0)</f>
        <v>103.33410000000001</v>
      </c>
      <c r="E1030" s="4">
        <f>510.42558115793 * CHOOSE(CONTROL!$C$9, $C$13, 100%, $E$13) + CHOOSE(CONTROL!$C$28, 0, 0)</f>
        <v>510.42558115793003</v>
      </c>
    </row>
    <row r="1031" spans="1:5" ht="15">
      <c r="A1031" s="13">
        <v>72897</v>
      </c>
      <c r="B1031" s="4">
        <f>70.3672 * CHOOSE(CONTROL!$C$9, $C$13, 100%, $E$13) + CHOOSE(CONTROL!$C$28, 0.013, 0)</f>
        <v>70.380200000000002</v>
      </c>
      <c r="C1031" s="4">
        <f>70.0039 * CHOOSE(CONTROL!$C$9, $C$13, 100%, $E$13) + CHOOSE(CONTROL!$C$28, 0.013, 0)</f>
        <v>70.016900000000007</v>
      </c>
      <c r="D1031" s="4">
        <f>105.0086 * CHOOSE(CONTROL!$C$9, $C$13, 100%, $E$13) + CHOOSE(CONTROL!$C$28, 0, 0)</f>
        <v>105.0086</v>
      </c>
      <c r="E1031" s="4">
        <f>510.263232054508 * CHOOSE(CONTROL!$C$9, $C$13, 100%, $E$13) + CHOOSE(CONTROL!$C$28, 0, 0)</f>
        <v>510.26323205450802</v>
      </c>
    </row>
    <row r="1032" spans="1:5" ht="15">
      <c r="A1032" s="13">
        <v>72928</v>
      </c>
      <c r="B1032" s="4">
        <f>72.0334 * CHOOSE(CONTROL!$C$9, $C$13, 100%, $E$13) + CHOOSE(CONTROL!$C$28, 0.013, 0)</f>
        <v>72.046400000000006</v>
      </c>
      <c r="C1032" s="4">
        <f>71.6701 * CHOOSE(CONTROL!$C$9, $C$13, 100%, $E$13) + CHOOSE(CONTROL!$C$28, 0.013, 0)</f>
        <v>71.68310000000001</v>
      </c>
      <c r="D1032" s="4">
        <f>103.9028 * CHOOSE(CONTROL!$C$9, $C$13, 100%, $E$13) + CHOOSE(CONTROL!$C$28, 0, 0)</f>
        <v>103.9028</v>
      </c>
      <c r="E1032" s="4">
        <f>522.480002086993 * CHOOSE(CONTROL!$C$9, $C$13, 100%, $E$13) + CHOOSE(CONTROL!$C$28, 0, 0)</f>
        <v>522.48000208699295</v>
      </c>
    </row>
    <row r="1033" spans="1:5" ht="15">
      <c r="A1033" s="13">
        <v>72958</v>
      </c>
      <c r="B1033" s="4">
        <f>69.1936 * CHOOSE(CONTROL!$C$9, $C$13, 100%, $E$13) + CHOOSE(CONTROL!$C$28, 0.013, 0)</f>
        <v>69.206600000000009</v>
      </c>
      <c r="C1033" s="4">
        <f>68.8304 * CHOOSE(CONTROL!$C$9, $C$13, 100%, $E$13) + CHOOSE(CONTROL!$C$28, 0.013, 0)</f>
        <v>68.843400000000003</v>
      </c>
      <c r="D1033" s="4">
        <f>103.3803 * CHOOSE(CONTROL!$C$9, $C$13, 100%, $E$13) + CHOOSE(CONTROL!$C$28, 0, 0)</f>
        <v>103.38030000000001</v>
      </c>
      <c r="E1033" s="4">
        <f>501.658729573156 * CHOOSE(CONTROL!$C$9, $C$13, 100%, $E$13) + CHOOSE(CONTROL!$C$28, 0, 0)</f>
        <v>501.65872957315599</v>
      </c>
    </row>
    <row r="1034" spans="1:5" ht="15">
      <c r="A1034" s="13">
        <v>72989</v>
      </c>
      <c r="B1034" s="4">
        <f>66.9203 * CHOOSE(CONTROL!$C$9, $C$13, 100%, $E$13) + CHOOSE(CONTROL!$C$28, 0.0003, 0)</f>
        <v>66.920599999999993</v>
      </c>
      <c r="C1034" s="4">
        <f>66.5571 * CHOOSE(CONTROL!$C$9, $C$13, 100%, $E$13) + CHOOSE(CONTROL!$C$28, 0.0003, 0)</f>
        <v>66.557400000000001</v>
      </c>
      <c r="D1034" s="4">
        <f>101.9813 * CHOOSE(CONTROL!$C$9, $C$13, 100%, $E$13) + CHOOSE(CONTROL!$C$28, 0, 0)</f>
        <v>101.9813</v>
      </c>
      <c r="E1034" s="4">
        <f>484.990888288525 * CHOOSE(CONTROL!$C$9, $C$13, 100%, $E$13) + CHOOSE(CONTROL!$C$28, 0, 0)</f>
        <v>484.99088828852501</v>
      </c>
    </row>
    <row r="1035" spans="1:5" ht="15">
      <c r="A1035" s="13">
        <v>73019</v>
      </c>
      <c r="B1035" s="4">
        <f>65.4562 * CHOOSE(CONTROL!$C$9, $C$13, 100%, $E$13) + CHOOSE(CONTROL!$C$28, 0.0003, 0)</f>
        <v>65.456499999999991</v>
      </c>
      <c r="C1035" s="4">
        <f>65.0929 * CHOOSE(CONTROL!$C$9, $C$13, 100%, $E$13) + CHOOSE(CONTROL!$C$28, 0.0003, 0)</f>
        <v>65.093199999999996</v>
      </c>
      <c r="D1035" s="4">
        <f>101.5004 * CHOOSE(CONTROL!$C$9, $C$13, 100%, $E$13) + CHOOSE(CONTROL!$C$28, 0, 0)</f>
        <v>101.5004</v>
      </c>
      <c r="E1035" s="4">
        <f>474.255553824763 * CHOOSE(CONTROL!$C$9, $C$13, 100%, $E$13) + CHOOSE(CONTROL!$C$28, 0, 0)</f>
        <v>474.25555382476301</v>
      </c>
    </row>
    <row r="1036" spans="1:5" ht="15">
      <c r="A1036" s="13">
        <v>73050</v>
      </c>
      <c r="B1036" s="4">
        <f>64.4432 * CHOOSE(CONTROL!$C$9, $C$13, 100%, $E$13) + CHOOSE(CONTROL!$C$28, 0.0003, 0)</f>
        <v>64.4435</v>
      </c>
      <c r="C1036" s="4">
        <f>64.0799 * CHOOSE(CONTROL!$C$9, $C$13, 100%, $E$13) + CHOOSE(CONTROL!$C$28, 0.0003, 0)</f>
        <v>64.080199999999991</v>
      </c>
      <c r="D1036" s="4">
        <f>97.9595 * CHOOSE(CONTROL!$C$9, $C$13, 100%, $E$13) + CHOOSE(CONTROL!$C$28, 0, 0)</f>
        <v>97.959500000000006</v>
      </c>
      <c r="E1036" s="4">
        <f>466.828082343218 * CHOOSE(CONTROL!$C$9, $C$13, 100%, $E$13) + CHOOSE(CONTROL!$C$28, 0, 0)</f>
        <v>466.828082343218</v>
      </c>
    </row>
    <row r="1037" spans="1:5" ht="15">
      <c r="A1037" s="13">
        <v>73081</v>
      </c>
      <c r="B1037" s="4">
        <f>61.6716 * CHOOSE(CONTROL!$C$9, $C$13, 100%, $E$13) + CHOOSE(CONTROL!$C$28, 0.0003, 0)</f>
        <v>61.671900000000001</v>
      </c>
      <c r="C1037" s="4">
        <f>61.3083 * CHOOSE(CONTROL!$C$9, $C$13, 100%, $E$13) + CHOOSE(CONTROL!$C$28, 0.0003, 0)</f>
        <v>61.308600000000006</v>
      </c>
      <c r="D1037" s="4">
        <f>94.059 * CHOOSE(CONTROL!$C$9, $C$13, 100%, $E$13) + CHOOSE(CONTROL!$C$28, 0, 0)</f>
        <v>94.058999999999997</v>
      </c>
      <c r="E1037" s="4">
        <f>447.382795799669 * CHOOSE(CONTROL!$C$9, $C$13, 100%, $E$13) + CHOOSE(CONTROL!$C$28, 0, 0)</f>
        <v>447.382795799669</v>
      </c>
    </row>
    <row r="1038" spans="1:5" ht="15">
      <c r="A1038" s="13">
        <v>73109</v>
      </c>
      <c r="B1038" s="4">
        <f>63.1175 * CHOOSE(CONTROL!$C$9, $C$13, 100%, $E$13) + CHOOSE(CONTROL!$C$28, 0.0003, 0)</f>
        <v>63.117800000000003</v>
      </c>
      <c r="C1038" s="4">
        <f>62.7542 * CHOOSE(CONTROL!$C$9, $C$13, 100%, $E$13) + CHOOSE(CONTROL!$C$28, 0.0003, 0)</f>
        <v>62.7545</v>
      </c>
      <c r="D1038" s="4">
        <f>97.3133 * CHOOSE(CONTROL!$C$9, $C$13, 100%, $E$13) + CHOOSE(CONTROL!$C$28, 0, 0)</f>
        <v>97.313299999999998</v>
      </c>
      <c r="E1038" s="4">
        <f>458.005426467037 * CHOOSE(CONTROL!$C$9, $C$13, 100%, $E$13) + CHOOSE(CONTROL!$C$28, 0, 0)</f>
        <v>458.00542646703701</v>
      </c>
    </row>
    <row r="1039" spans="1:5" ht="15">
      <c r="A1039" s="13">
        <v>73140</v>
      </c>
      <c r="B1039" s="4">
        <f>66.9147 * CHOOSE(CONTROL!$C$9, $C$13, 100%, $E$13) + CHOOSE(CONTROL!$C$28, 0.0003, 0)</f>
        <v>66.914999999999992</v>
      </c>
      <c r="C1039" s="4">
        <f>66.5514 * CHOOSE(CONTROL!$C$9, $C$13, 100%, $E$13) + CHOOSE(CONTROL!$C$28, 0.0003, 0)</f>
        <v>66.551699999999997</v>
      </c>
      <c r="D1039" s="4">
        <f>102.4078 * CHOOSE(CONTROL!$C$9, $C$13, 100%, $E$13) + CHOOSE(CONTROL!$C$28, 0, 0)</f>
        <v>102.40779999999999</v>
      </c>
      <c r="E1039" s="4">
        <f>485.901019120422 * CHOOSE(CONTROL!$C$9, $C$13, 100%, $E$13) + CHOOSE(CONTROL!$C$28, 0, 0)</f>
        <v>485.90101912042201</v>
      </c>
    </row>
    <row r="1040" spans="1:5" ht="15">
      <c r="A1040" s="13">
        <v>73170</v>
      </c>
      <c r="B1040" s="4">
        <f>69.6126 * CHOOSE(CONTROL!$C$9, $C$13, 100%, $E$13) + CHOOSE(CONTROL!$C$28, 0.0003, 0)</f>
        <v>69.612899999999996</v>
      </c>
      <c r="C1040" s="4">
        <f>69.2493 * CHOOSE(CONTROL!$C$9, $C$13, 100%, $E$13) + CHOOSE(CONTROL!$C$28, 0.0003, 0)</f>
        <v>69.249600000000001</v>
      </c>
      <c r="D1040" s="4">
        <f>105.3423 * CHOOSE(CONTROL!$C$9, $C$13, 100%, $E$13) + CHOOSE(CONTROL!$C$28, 0, 0)</f>
        <v>105.34229999999999</v>
      </c>
      <c r="E1040" s="4">
        <f>505.721209458304 * CHOOSE(CONTROL!$C$9, $C$13, 100%, $E$13) + CHOOSE(CONTROL!$C$28, 0, 0)</f>
        <v>505.72120945830397</v>
      </c>
    </row>
    <row r="1041" spans="1:5" ht="15">
      <c r="A1041" s="13">
        <v>73201</v>
      </c>
      <c r="B1041" s="4">
        <f>71.261 * CHOOSE(CONTROL!$C$9, $C$13, 100%, $E$13) + CHOOSE(CONTROL!$C$28, 0.013, 0)</f>
        <v>71.274000000000001</v>
      </c>
      <c r="C1041" s="4">
        <f>70.8977 * CHOOSE(CONTROL!$C$9, $C$13, 100%, $E$13) + CHOOSE(CONTROL!$C$28, 0.013, 0)</f>
        <v>70.910700000000006</v>
      </c>
      <c r="D1041" s="4">
        <f>104.1828 * CHOOSE(CONTROL!$C$9, $C$13, 100%, $E$13) + CHOOSE(CONTROL!$C$28, 0, 0)</f>
        <v>104.1828</v>
      </c>
      <c r="E1041" s="4">
        <f>517.830870731084 * CHOOSE(CONTROL!$C$9, $C$13, 100%, $E$13) + CHOOSE(CONTROL!$C$28, 0, 0)</f>
        <v>517.83087073108402</v>
      </c>
    </row>
    <row r="1042" spans="1:5" ht="15">
      <c r="A1042" s="13">
        <v>73231</v>
      </c>
      <c r="B1042" s="4">
        <f>71.484 * CHOOSE(CONTROL!$C$9, $C$13, 100%, $E$13) + CHOOSE(CONTROL!$C$28, 0.013, 0)</f>
        <v>71.497</v>
      </c>
      <c r="C1042" s="4">
        <f>71.1208 * CHOOSE(CONTROL!$C$9, $C$13, 100%, $E$13) + CHOOSE(CONTROL!$C$28, 0.013, 0)</f>
        <v>71.133800000000008</v>
      </c>
      <c r="D1042" s="4">
        <f>105.1272 * CHOOSE(CONTROL!$C$9, $C$13, 100%, $E$13) + CHOOSE(CONTROL!$C$28, 0, 0)</f>
        <v>105.1272</v>
      </c>
      <c r="E1042" s="4">
        <f>519.469358157418 * CHOOSE(CONTROL!$C$9, $C$13, 100%, $E$13) + CHOOSE(CONTROL!$C$28, 0, 0)</f>
        <v>519.46935815741801</v>
      </c>
    </row>
    <row r="1043" spans="1:5" ht="15">
      <c r="A1043" s="13">
        <v>73262</v>
      </c>
      <c r="B1043" s="4">
        <f>71.4615 * CHOOSE(CONTROL!$C$9, $C$13, 100%, $E$13) + CHOOSE(CONTROL!$C$28, 0.013, 0)</f>
        <v>71.474500000000006</v>
      </c>
      <c r="C1043" s="4">
        <f>71.0983 * CHOOSE(CONTROL!$C$9, $C$13, 100%, $E$13) + CHOOSE(CONTROL!$C$28, 0.013, 0)</f>
        <v>71.1113</v>
      </c>
      <c r="D1043" s="4">
        <f>106.8312 * CHOOSE(CONTROL!$C$9, $C$13, 100%, $E$13) + CHOOSE(CONTROL!$C$28, 0, 0)</f>
        <v>106.8312</v>
      </c>
      <c r="E1043" s="4">
        <f>519.304132534595 * CHOOSE(CONTROL!$C$9, $C$13, 100%, $E$13) + CHOOSE(CONTROL!$C$28, 0, 0)</f>
        <v>519.30413253459506</v>
      </c>
    </row>
    <row r="1044" spans="1:5" ht="15">
      <c r="A1044" s="13">
        <v>73293</v>
      </c>
      <c r="B1044" s="4">
        <f>73.154 * CHOOSE(CONTROL!$C$9, $C$13, 100%, $E$13) + CHOOSE(CONTROL!$C$28, 0.013, 0)</f>
        <v>73.167000000000002</v>
      </c>
      <c r="C1044" s="4">
        <f>72.7907 * CHOOSE(CONTROL!$C$9, $C$13, 100%, $E$13) + CHOOSE(CONTROL!$C$28, 0.013, 0)</f>
        <v>72.803700000000006</v>
      </c>
      <c r="D1044" s="4">
        <f>105.7058 * CHOOSE(CONTROL!$C$9, $C$13, 100%, $E$13) + CHOOSE(CONTROL!$C$28, 0, 0)</f>
        <v>105.7058</v>
      </c>
      <c r="E1044" s="4">
        <f>531.737360652071 * CHOOSE(CONTROL!$C$9, $C$13, 100%, $E$13) + CHOOSE(CONTROL!$C$28, 0, 0)</f>
        <v>531.73736065207095</v>
      </c>
    </row>
    <row r="1045" spans="1:5" ht="15">
      <c r="A1045" s="13">
        <v>73323</v>
      </c>
      <c r="B1045" s="4">
        <f>70.2695 * CHOOSE(CONTROL!$C$9, $C$13, 100%, $E$13) + CHOOSE(CONTROL!$C$28, 0.013, 0)</f>
        <v>70.282499999999999</v>
      </c>
      <c r="C1045" s="4">
        <f>69.9063 * CHOOSE(CONTROL!$C$9, $C$13, 100%, $E$13) + CHOOSE(CONTROL!$C$28, 0.013, 0)</f>
        <v>69.919300000000007</v>
      </c>
      <c r="D1045" s="4">
        <f>105.1741 * CHOOSE(CONTROL!$C$9, $C$13, 100%, $E$13) + CHOOSE(CONTROL!$C$28, 0, 0)</f>
        <v>105.1741</v>
      </c>
      <c r="E1045" s="4">
        <f>510.547174524944 * CHOOSE(CONTROL!$C$9, $C$13, 100%, $E$13) + CHOOSE(CONTROL!$C$28, 0, 0)</f>
        <v>510.54717452494401</v>
      </c>
    </row>
    <row r="1046" spans="1:5" ht="15">
      <c r="A1046" s="13">
        <v>73354</v>
      </c>
      <c r="B1046" s="4">
        <f>67.9605 * CHOOSE(CONTROL!$C$9, $C$13, 100%, $E$13) + CHOOSE(CONTROL!$C$28, 0.0003, 0)</f>
        <v>67.960799999999992</v>
      </c>
      <c r="C1046" s="4">
        <f>67.5972 * CHOOSE(CONTROL!$C$9, $C$13, 100%, $E$13) + CHOOSE(CONTROL!$C$28, 0.0003, 0)</f>
        <v>67.597499999999997</v>
      </c>
      <c r="D1046" s="4">
        <f>103.7505 * CHOOSE(CONTROL!$C$9, $C$13, 100%, $E$13) + CHOOSE(CONTROL!$C$28, 0, 0)</f>
        <v>103.7505</v>
      </c>
      <c r="E1046" s="4">
        <f>493.58401058172 * CHOOSE(CONTROL!$C$9, $C$13, 100%, $E$13) + CHOOSE(CONTROL!$C$28, 0, 0)</f>
        <v>493.58401058172001</v>
      </c>
    </row>
    <row r="1047" spans="1:5" ht="15">
      <c r="A1047" s="13">
        <v>73384</v>
      </c>
      <c r="B1047" s="4">
        <f>66.4733 * CHOOSE(CONTROL!$C$9, $C$13, 100%, $E$13) + CHOOSE(CONTROL!$C$28, 0.0003, 0)</f>
        <v>66.47359999999999</v>
      </c>
      <c r="C1047" s="4">
        <f>66.11 * CHOOSE(CONTROL!$C$9, $C$13, 100%, $E$13) + CHOOSE(CONTROL!$C$28, 0.0003, 0)</f>
        <v>66.110299999999995</v>
      </c>
      <c r="D1047" s="4">
        <f>103.261 * CHOOSE(CONTROL!$C$9, $C$13, 100%, $E$13) + CHOOSE(CONTROL!$C$28, 0, 0)</f>
        <v>103.261</v>
      </c>
      <c r="E1047" s="4">
        <f>482.658466272509 * CHOOSE(CONTROL!$C$9, $C$13, 100%, $E$13) + CHOOSE(CONTROL!$C$28, 0, 0)</f>
        <v>482.65846627250897</v>
      </c>
    </row>
    <row r="1048" spans="1:5" ht="15">
      <c r="A1048" s="13">
        <v>73415</v>
      </c>
      <c r="B1048" s="4">
        <f>65.4444 * CHOOSE(CONTROL!$C$9, $C$13, 100%, $E$13) + CHOOSE(CONTROL!$C$28, 0.0003, 0)</f>
        <v>65.444699999999997</v>
      </c>
      <c r="C1048" s="4">
        <f>65.0811 * CHOOSE(CONTROL!$C$9, $C$13, 100%, $E$13) + CHOOSE(CONTROL!$C$28, 0.0003, 0)</f>
        <v>65.081400000000002</v>
      </c>
      <c r="D1048" s="4">
        <f>99.6576 * CHOOSE(CONTROL!$C$9, $C$13, 100%, $E$13) + CHOOSE(CONTROL!$C$28, 0, 0)</f>
        <v>99.657600000000002</v>
      </c>
      <c r="E1048" s="4">
        <f>475.099394028329 * CHOOSE(CONTROL!$C$9, $C$13, 100%, $E$13) + CHOOSE(CONTROL!$C$28, 0, 0)</f>
        <v>475.09939402832902</v>
      </c>
    </row>
    <row r="1049" spans="1:5" ht="15">
      <c r="A1049" s="10"/>
      <c r="B1049" s="4"/>
      <c r="C1049" s="4"/>
      <c r="D1049" s="4"/>
      <c r="E1049" s="4"/>
    </row>
    <row r="1050" spans="1:5" ht="15">
      <c r="A1050" s="3">
        <v>2015</v>
      </c>
      <c r="B1050" s="4">
        <f>AVERAGE(B17:B28)</f>
        <v>9.5814916666666647</v>
      </c>
      <c r="C1050" s="4">
        <f>AVERAGE(C17:C28)</f>
        <v>9.2182000000000013</v>
      </c>
      <c r="D1050" s="4">
        <f>AVERAGE(D17:D28)</f>
        <v>16.018975000000001</v>
      </c>
      <c r="E1050" s="4">
        <f>AVERAGE(E17:E28)</f>
        <v>56.877499999999998</v>
      </c>
    </row>
    <row r="1051" spans="1:5" ht="15">
      <c r="A1051" s="3">
        <v>2016</v>
      </c>
      <c r="B1051" s="4">
        <f>AVERAGE(B29:B40)</f>
        <v>10.644266666666667</v>
      </c>
      <c r="C1051" s="4">
        <f>AVERAGE(C29:C40)</f>
        <v>10.280983333333332</v>
      </c>
      <c r="D1051" s="4">
        <f>AVERAGE(D29:D40)</f>
        <v>16.792325000000002</v>
      </c>
      <c r="E1051" s="4">
        <f>AVERAGE(E29:E40)</f>
        <v>64.154166666666669</v>
      </c>
    </row>
    <row r="1052" spans="1:5" ht="15">
      <c r="A1052" s="3">
        <v>2017</v>
      </c>
      <c r="B1052" s="4">
        <f>AVERAGE(B41:B52)</f>
        <v>10.854408333333332</v>
      </c>
      <c r="C1052" s="4">
        <f>AVERAGE(C41:C52)</f>
        <v>10.491158333333333</v>
      </c>
      <c r="D1052" s="4">
        <f>AVERAGE(D41:D52)</f>
        <v>17.155241666666665</v>
      </c>
      <c r="E1052" s="4">
        <f>AVERAGE(E41:E52)</f>
        <v>65.499166666666667</v>
      </c>
    </row>
    <row r="1053" spans="1:5" ht="15">
      <c r="A1053" s="3">
        <v>2018</v>
      </c>
      <c r="B1053" s="4">
        <f>AVERAGE(B53:B64)</f>
        <v>11.892783333333332</v>
      </c>
      <c r="C1053" s="4">
        <f>AVERAGE(C53:C64)</f>
        <v>11.529491666666667</v>
      </c>
      <c r="D1053" s="4">
        <f>AVERAGE(D53:D64)</f>
        <v>18.285391666666666</v>
      </c>
      <c r="E1053" s="4">
        <f>AVERAGE(E53:E64)</f>
        <v>73.791250000000005</v>
      </c>
    </row>
    <row r="1054" spans="1:5" ht="15">
      <c r="A1054" s="3">
        <v>2019</v>
      </c>
      <c r="B1054" s="4">
        <f>AVERAGE(B65:B76)</f>
        <v>12.246299999999998</v>
      </c>
      <c r="C1054" s="4">
        <f>AVERAGE(C65:C76)</f>
        <v>11.883008333333335</v>
      </c>
      <c r="D1054" s="4">
        <f>AVERAGE(D65:D76)</f>
        <v>18.900858333333332</v>
      </c>
      <c r="E1054" s="4">
        <f>AVERAGE(E65:E76)</f>
        <v>76.444584248860664</v>
      </c>
    </row>
    <row r="1055" spans="1:5" ht="15">
      <c r="A1055" s="3">
        <v>2020</v>
      </c>
      <c r="B1055" s="4">
        <f>AVERAGE(B77:B88)</f>
        <v>14.110925</v>
      </c>
      <c r="C1055" s="4">
        <f>AVERAGE(C77:C88)</f>
        <v>13.74765</v>
      </c>
      <c r="D1055" s="4">
        <f>AVERAGE(D77:D88)</f>
        <v>20.875616666666666</v>
      </c>
      <c r="E1055" s="4">
        <f>AVERAGE(E77:E88)</f>
        <v>90.846992492675781</v>
      </c>
    </row>
    <row r="1056" spans="1:5" ht="15">
      <c r="A1056" s="3">
        <v>2021</v>
      </c>
      <c r="B1056" s="4">
        <f>AVERAGE(B89:B100)</f>
        <v>14.750908333333333</v>
      </c>
      <c r="C1056" s="4">
        <f>AVERAGE(C89:C100)</f>
        <v>14.387633333333335</v>
      </c>
      <c r="D1056" s="4">
        <f>AVERAGE(D89:D100)</f>
        <v>21.724774999999998</v>
      </c>
      <c r="E1056" s="4">
        <f>AVERAGE(E89:E100)</f>
        <v>94.618591308593793</v>
      </c>
    </row>
    <row r="1057" spans="1:5" ht="15">
      <c r="A1057" s="3">
        <v>2022</v>
      </c>
      <c r="B1057" s="4">
        <f>AVERAGE(B101:B112)</f>
        <v>15.504400000000002</v>
      </c>
      <c r="C1057" s="4">
        <f>AVERAGE(C101:C112)</f>
        <v>15.141141666666664</v>
      </c>
      <c r="D1057" s="4">
        <f>AVERAGE(D101:D112)</f>
        <v>22.795791666666663</v>
      </c>
      <c r="E1057" s="4">
        <f>AVERAGE(E101:E112)</f>
        <v>99.389778137206847</v>
      </c>
    </row>
    <row r="1058" spans="1:5" ht="15">
      <c r="A1058" s="3">
        <v>2023</v>
      </c>
      <c r="B1058" s="4">
        <f>AVERAGE(B113:B124)</f>
        <v>16.308983333333334</v>
      </c>
      <c r="C1058" s="4">
        <f>AVERAGE(C113:C124)</f>
        <v>15.945708333333334</v>
      </c>
      <c r="D1058" s="4">
        <f>AVERAGE(D113:D124)</f>
        <v>23.840041666666664</v>
      </c>
      <c r="E1058" s="4">
        <f>AVERAGE(E113:E124)</f>
        <v>104.16054534912108</v>
      </c>
    </row>
    <row r="1059" spans="1:5" ht="15">
      <c r="A1059" s="3">
        <v>2024</v>
      </c>
      <c r="B1059" s="4">
        <f>AVERAGE(B125:B136)</f>
        <v>17.142708333333335</v>
      </c>
      <c r="C1059" s="4">
        <f>AVERAGE(C125:C136)</f>
        <v>16.779416666666666</v>
      </c>
      <c r="D1059" s="4">
        <f>AVERAGE(D125:D136)</f>
        <v>25.213208333333331</v>
      </c>
      <c r="E1059" s="4">
        <f>AVERAGE(E125:E136)</f>
        <v>108.93090057373041</v>
      </c>
    </row>
    <row r="1060" spans="1:5" ht="15">
      <c r="A1060" s="3">
        <v>2025</v>
      </c>
      <c r="B1060" s="4">
        <f>AVERAGE(B137:B148)</f>
        <v>18.504033333333332</v>
      </c>
      <c r="C1060" s="4">
        <f>AVERAGE(C137:C148)</f>
        <v>18.140750000000001</v>
      </c>
      <c r="D1060" s="4">
        <f>AVERAGE(D137:D148)</f>
        <v>26.551458333333333</v>
      </c>
      <c r="E1060" s="4">
        <f>AVERAGE(E137:E148)</f>
        <v>114.7008361816405</v>
      </c>
    </row>
    <row r="1061" spans="1:5" ht="15">
      <c r="A1061" s="3">
        <v>2026</v>
      </c>
      <c r="B1061" s="4">
        <f>AVERAGE(B149:B160)</f>
        <v>19.083716666666671</v>
      </c>
      <c r="C1061" s="4">
        <f>AVERAGE(C149:C160)</f>
        <v>18.720433333333332</v>
      </c>
      <c r="D1061" s="4">
        <f>AVERAGE(D149:D160)</f>
        <v>27.302383333333339</v>
      </c>
      <c r="E1061" s="4">
        <f>AVERAGE(E149:E160)</f>
        <v>118.55784606933582</v>
      </c>
    </row>
    <row r="1062" spans="1:5" ht="15">
      <c r="A1062" s="3">
        <v>2027</v>
      </c>
      <c r="B1062" s="4">
        <f>AVERAGE(B161:B172)</f>
        <v>19.677466666666668</v>
      </c>
      <c r="C1062" s="4">
        <f>AVERAGE(C161:C172)</f>
        <v>19.31419166666667</v>
      </c>
      <c r="D1062" s="4">
        <f>AVERAGE(D161:D172)</f>
        <v>28.050908333333329</v>
      </c>
      <c r="E1062" s="4">
        <f>AVERAGE(E161:E172)</f>
        <v>122.41442108154308</v>
      </c>
    </row>
    <row r="1063" spans="1:5" ht="15">
      <c r="A1063" s="3">
        <v>2028</v>
      </c>
      <c r="B1063" s="4">
        <f>AVERAGE(B173:B184)</f>
        <v>20.232150000000001</v>
      </c>
      <c r="C1063" s="4">
        <f>AVERAGE(C173:C184)</f>
        <v>19.868875000000003</v>
      </c>
      <c r="D1063" s="4">
        <f>AVERAGE(D173:D184)</f>
        <v>28.740366666666663</v>
      </c>
      <c r="E1063" s="4">
        <f>AVERAGE(E173:E184)</f>
        <v>126.27056884765624</v>
      </c>
    </row>
    <row r="1064" spans="1:5" ht="15">
      <c r="A1064" s="3">
        <v>2029</v>
      </c>
      <c r="B1064" s="4">
        <f>AVERAGE(B185:B196)</f>
        <v>20.833716666666664</v>
      </c>
      <c r="C1064" s="4">
        <f>AVERAGE(C185:C196)</f>
        <v>20.470425000000002</v>
      </c>
      <c r="D1064" s="4">
        <f>AVERAGE(D185:D196)</f>
        <v>29.379350000000002</v>
      </c>
      <c r="E1064" s="4">
        <f>AVERAGE(E185:E196)</f>
        <v>130.12626647949216</v>
      </c>
    </row>
    <row r="1065" spans="1:5" ht="15">
      <c r="A1065" s="3">
        <v>2030</v>
      </c>
      <c r="B1065" s="4">
        <f>AVERAGE(B197:B208)</f>
        <v>21.435275000000001</v>
      </c>
      <c r="C1065" s="4">
        <f>AVERAGE(C197:C208)</f>
        <v>21.071983333333332</v>
      </c>
      <c r="D1065" s="4">
        <f>AVERAGE(D197:D208)</f>
        <v>30.026058333333335</v>
      </c>
      <c r="E1065" s="4">
        <f>AVERAGE(E197:E208)</f>
        <v>133.98153686523432</v>
      </c>
    </row>
    <row r="1066" spans="1:5" ht="15">
      <c r="A1066" s="3">
        <v>2031</v>
      </c>
      <c r="B1066" s="4">
        <f>AVERAGE(B209:B220)</f>
        <v>22.185275000000001</v>
      </c>
      <c r="C1066" s="4">
        <f>AVERAGE(C209:C220)</f>
        <v>21.821999999999999</v>
      </c>
      <c r="D1066" s="4">
        <f>AVERAGE(D209:D220)</f>
        <v>30.848808333333334</v>
      </c>
      <c r="E1066" s="4">
        <f>AVERAGE(E209:E220)</f>
        <v>138.83634948730472</v>
      </c>
    </row>
    <row r="1067" spans="1:5" ht="15">
      <c r="A1067" s="3">
        <v>2032</v>
      </c>
      <c r="B1067" s="4">
        <f>AVERAGE(B221:B232)</f>
        <v>22.950916666666668</v>
      </c>
      <c r="C1067" s="4">
        <f>AVERAGE(C221:C232)</f>
        <v>22.587625000000003</v>
      </c>
      <c r="D1067" s="4">
        <f>AVERAGE(D221:D232)</f>
        <v>31.671558333333337</v>
      </c>
      <c r="E1067" s="4">
        <f>AVERAGE(E221:E232)</f>
        <v>143.69071960449216</v>
      </c>
    </row>
    <row r="1068" spans="1:5" ht="15">
      <c r="A1068" s="3">
        <v>2033</v>
      </c>
      <c r="B1068" s="4">
        <f>AVERAGE(B233:B244)</f>
        <v>23.716541666666661</v>
      </c>
      <c r="C1068" s="4">
        <f>AVERAGE(C233:C244)</f>
        <v>23.353241666666673</v>
      </c>
      <c r="D1068" s="4">
        <f>AVERAGE(D233:D244)</f>
        <v>32.494324999999996</v>
      </c>
      <c r="E1068" s="4">
        <f>AVERAGE(E233:E244)</f>
        <v>148.54461669921872</v>
      </c>
    </row>
    <row r="1069" spans="1:5" ht="15">
      <c r="A1069" s="3">
        <v>2034</v>
      </c>
      <c r="B1069" s="4">
        <f>AVERAGE(B245:B256)</f>
        <v>24.482150000000001</v>
      </c>
      <c r="C1069" s="4">
        <f>AVERAGE(C245:C256)</f>
        <v>24.118866666666666</v>
      </c>
      <c r="D1069" s="4">
        <f>AVERAGE(D245:D256)</f>
        <v>33.317074999999996</v>
      </c>
      <c r="E1069" s="4">
        <f>AVERAGE(E245:E256)</f>
        <v>153.39807128906259</v>
      </c>
    </row>
    <row r="1070" spans="1:5" ht="15">
      <c r="A1070" s="3">
        <v>2035</v>
      </c>
      <c r="B1070" s="4">
        <f>AVERAGE(B257:B268)</f>
        <v>25.247791666666668</v>
      </c>
      <c r="C1070" s="4">
        <f>AVERAGE(C257:C268)</f>
        <v>24.884491666666666</v>
      </c>
      <c r="D1070" s="4">
        <f>AVERAGE(D257:D268)</f>
        <v>34.167283333333337</v>
      </c>
      <c r="E1070" s="4">
        <f>AVERAGE(E257:E268)</f>
        <v>158.2510528564454</v>
      </c>
    </row>
    <row r="1071" spans="1:5" ht="15">
      <c r="A1071" s="3">
        <v>2036</v>
      </c>
      <c r="B1071" s="4">
        <f>AVERAGE(B269:B280)</f>
        <v>25.632549999999995</v>
      </c>
      <c r="C1071" s="4">
        <f>AVERAGE(C269:C280)</f>
        <v>25.269258333333337</v>
      </c>
      <c r="D1071" s="4">
        <f>AVERAGE(D269:D280)</f>
        <v>34.738233333333334</v>
      </c>
      <c r="E1071" s="4">
        <f>AVERAGE(E269:E280)</f>
        <v>161.05496254435951</v>
      </c>
    </row>
    <row r="1072" spans="1:5" ht="15">
      <c r="A1072" s="3">
        <v>2037</v>
      </c>
      <c r="B1072" s="4">
        <f>AVERAGE(B281:B292)</f>
        <v>26.023374999999998</v>
      </c>
      <c r="C1072" s="4">
        <f>AVERAGE(C281:C292)</f>
        <v>25.660083333333336</v>
      </c>
      <c r="D1072" s="4">
        <f>AVERAGE(D281:D292)</f>
        <v>35.319291666666672</v>
      </c>
      <c r="E1072" s="4">
        <f>AVERAGE(E281:E292)</f>
        <v>163.90855221478301</v>
      </c>
    </row>
    <row r="1073" spans="1:5" ht="15">
      <c r="A1073" s="3">
        <f t="shared" ref="A1073:A1104" si="0">A1072+1</f>
        <v>2038</v>
      </c>
      <c r="B1073" s="4">
        <f>AVERAGE(B293:B304)</f>
        <v>26.420333333333332</v>
      </c>
      <c r="C1073" s="4">
        <f>AVERAGE(C293:C304)</f>
        <v>26.057041666666667</v>
      </c>
      <c r="D1073" s="4">
        <f>AVERAGE(D293:D304)</f>
        <v>35.910591666666669</v>
      </c>
      <c r="E1073" s="4">
        <f>AVERAGE(E293:E304)</f>
        <v>166.81270210315</v>
      </c>
    </row>
    <row r="1074" spans="1:5" ht="15">
      <c r="A1074" s="3">
        <f t="shared" si="0"/>
        <v>2039</v>
      </c>
      <c r="B1074" s="4">
        <f>AVERAGE(B305:B316)</f>
        <v>26.823533333333334</v>
      </c>
      <c r="C1074" s="4">
        <f>AVERAGE(C305:C316)</f>
        <v>26.460258333333332</v>
      </c>
      <c r="D1074" s="4">
        <f>AVERAGE(D305:D316)</f>
        <v>36.512349999999998</v>
      </c>
      <c r="E1074" s="4">
        <f>AVERAGE(E305:E316)</f>
        <v>169.76830804100425</v>
      </c>
    </row>
    <row r="1075" spans="1:5" ht="15">
      <c r="A1075" s="3">
        <f t="shared" si="0"/>
        <v>2040</v>
      </c>
      <c r="B1075" s="4">
        <f>AVERAGE(B317:B328)</f>
        <v>27.23308333333333</v>
      </c>
      <c r="C1075" s="4">
        <f>AVERAGE(C317:C328)</f>
        <v>26.869808333333339</v>
      </c>
      <c r="D1075" s="4">
        <f>AVERAGE(D317:D328)</f>
        <v>37.124758333333332</v>
      </c>
      <c r="E1075" s="4">
        <f>AVERAGE(E317:E328)</f>
        <v>172.77628173233109</v>
      </c>
    </row>
    <row r="1076" spans="1:5" ht="15">
      <c r="A1076" s="3">
        <f t="shared" si="0"/>
        <v>2041</v>
      </c>
      <c r="B1076" s="4">
        <f>AVERAGE(B329:B340)</f>
        <v>27.649083333333333</v>
      </c>
      <c r="C1076" s="4">
        <f>AVERAGE(C329:C340)</f>
        <v>27.285799999999998</v>
      </c>
      <c r="D1076" s="4">
        <f>AVERAGE(D329:D340)</f>
        <v>37.747958333333322</v>
      </c>
      <c r="E1076" s="4">
        <f>AVERAGE(E329:E340)</f>
        <v>175.83755103478907</v>
      </c>
    </row>
    <row r="1077" spans="1:5" ht="15">
      <c r="A1077" s="3">
        <f t="shared" si="0"/>
        <v>2042</v>
      </c>
      <c r="B1077" s="4">
        <f>AVERAGE(B341:B352)</f>
        <v>28.071608333333341</v>
      </c>
      <c r="C1077" s="4">
        <f>AVERAGE(C341:C352)</f>
        <v>27.708325000000002</v>
      </c>
      <c r="D1077" s="4">
        <f>AVERAGE(D341:D352)</f>
        <v>38.382174999999997</v>
      </c>
      <c r="E1077" s="4">
        <f>AVERAGE(E341:E352)</f>
        <v>178.9530602459208</v>
      </c>
    </row>
    <row r="1078" spans="1:5" ht="15">
      <c r="A1078" s="3">
        <f t="shared" si="0"/>
        <v>2043</v>
      </c>
      <c r="B1078" s="4">
        <f>AVERAGE(B353:B364)</f>
        <v>28.500783333333331</v>
      </c>
      <c r="C1078" s="4">
        <f>AVERAGE(C353:C364)</f>
        <v>28.137508333333329</v>
      </c>
      <c r="D1078" s="4">
        <f>AVERAGE(D353:D364)</f>
        <v>39.027616666666667</v>
      </c>
      <c r="E1078" s="4">
        <f>AVERAGE(E353:E364)</f>
        <v>182.12377039443774</v>
      </c>
    </row>
    <row r="1079" spans="1:5" ht="15">
      <c r="A1079" s="3">
        <f t="shared" si="0"/>
        <v>2044</v>
      </c>
      <c r="B1079" s="4">
        <f>AVERAGE(B365:B376)</f>
        <v>28.936724999999999</v>
      </c>
      <c r="C1079" s="4">
        <f>AVERAGE(C365:C376)</f>
        <v>28.573441666666668</v>
      </c>
      <c r="D1079" s="4">
        <f>AVERAGE(D365:D376)</f>
        <v>39.684449999999991</v>
      </c>
      <c r="E1079" s="4">
        <f>AVERAGE(E365:E376)</f>
        <v>185.35065953666444</v>
      </c>
    </row>
    <row r="1080" spans="1:5" ht="15">
      <c r="A1080" s="3">
        <f t="shared" si="0"/>
        <v>2045</v>
      </c>
      <c r="B1080" s="4">
        <f>AVERAGE(B377:B388)</f>
        <v>29.379500000000004</v>
      </c>
      <c r="C1080" s="4">
        <f>AVERAGE(C377:C388)</f>
        <v>29.016208333333335</v>
      </c>
      <c r="D1080" s="4">
        <f>AVERAGE(D377:D388)</f>
        <v>40.352883333333331</v>
      </c>
      <c r="E1080" s="4">
        <f>AVERAGE(E377:E388)</f>
        <v>188.63472305823606</v>
      </c>
    </row>
    <row r="1081" spans="1:5" ht="15">
      <c r="A1081" s="3">
        <f t="shared" si="0"/>
        <v>2046</v>
      </c>
      <c r="B1081" s="4">
        <f>AVERAGE(B389:B400)</f>
        <v>29.829216666666664</v>
      </c>
      <c r="C1081" s="4">
        <f>AVERAGE(C389:C400)</f>
        <v>29.465950000000003</v>
      </c>
      <c r="D1081" s="4">
        <f>AVERAGE(D389:D400)</f>
        <v>41.033133333333332</v>
      </c>
      <c r="E1081" s="4">
        <f>AVERAGE(E389:E400)</f>
        <v>191.97697398114028</v>
      </c>
    </row>
    <row r="1082" spans="1:5" ht="15">
      <c r="A1082" s="3">
        <f t="shared" si="0"/>
        <v>2047</v>
      </c>
      <c r="B1082" s="4">
        <f>AVERAGE(B401:B412)</f>
        <v>30.286033333333336</v>
      </c>
      <c r="C1082" s="4">
        <f>AVERAGE(C401:C412)</f>
        <v>29.922741666666667</v>
      </c>
      <c r="D1082" s="4">
        <f>AVERAGE(D401:D412)</f>
        <v>41.7254</v>
      </c>
      <c r="E1082" s="4">
        <f>AVERAGE(E401:E412)</f>
        <v>195.37844327620061</v>
      </c>
    </row>
    <row r="1083" spans="1:5" ht="15">
      <c r="A1083" s="3">
        <f t="shared" si="0"/>
        <v>2048</v>
      </c>
      <c r="B1083" s="4">
        <f>AVERAGE(B413:B424)</f>
        <v>30.750024999999997</v>
      </c>
      <c r="C1083" s="4">
        <f>AVERAGE(C413:C424)</f>
        <v>30.386741666666666</v>
      </c>
      <c r="D1083" s="4">
        <f>AVERAGE(D413:D424)</f>
        <v>42.429891666666663</v>
      </c>
      <c r="E1083" s="4">
        <f>AVERAGE(E413:E424)</f>
        <v>198.84018018109614</v>
      </c>
    </row>
    <row r="1084" spans="1:5" ht="15">
      <c r="A1084" s="3">
        <f t="shared" si="0"/>
        <v>2049</v>
      </c>
      <c r="B1084" s="4">
        <f>AVERAGE(B425:B436)</f>
        <v>31.221316666666663</v>
      </c>
      <c r="C1084" s="4">
        <f>AVERAGE(C425:C436)</f>
        <v>30.858050000000002</v>
      </c>
      <c r="D1084" s="4">
        <f>AVERAGE(D425:D436)</f>
        <v>43.146850000000001</v>
      </c>
      <c r="E1084" s="4">
        <f>AVERAGE(E425:E436)</f>
        <v>202.36325252401534</v>
      </c>
    </row>
    <row r="1085" spans="1:5" ht="15">
      <c r="A1085" s="3">
        <f t="shared" si="0"/>
        <v>2050</v>
      </c>
      <c r="B1085" s="4">
        <f>AVERAGE(B437:B448)</f>
        <v>31.700016666666659</v>
      </c>
      <c r="C1085" s="4">
        <f>AVERAGE(C437:C448)</f>
        <v>31.336750000000006</v>
      </c>
      <c r="D1085" s="4">
        <f>AVERAGE(D437:D448)</f>
        <v>43.876458333333339</v>
      </c>
      <c r="E1085" s="4">
        <f>AVERAGE(E437:E448)</f>
        <v>205.9487470530446</v>
      </c>
    </row>
    <row r="1086" spans="1:5" ht="15">
      <c r="A1086" s="3">
        <f t="shared" si="0"/>
        <v>2051</v>
      </c>
      <c r="B1086" s="4">
        <f>AVERAGE(B449:B460)</f>
        <v>32.186249999999994</v>
      </c>
      <c r="C1086" s="4">
        <f>AVERAGE(C449:C460)</f>
        <v>31.82296666666667</v>
      </c>
      <c r="D1086" s="4">
        <f>AVERAGE(D449:D460)</f>
        <v>44.618950000000005</v>
      </c>
      <c r="E1086" s="4">
        <f>AVERAGE(E449:E460)</f>
        <v>209.59776977139384</v>
      </c>
    </row>
    <row r="1087" spans="1:5" ht="15">
      <c r="A1087" s="3">
        <f t="shared" si="0"/>
        <v>2052</v>
      </c>
      <c r="B1087" s="4">
        <f>AVERAGE(B461:B472)</f>
        <v>32.680125000000004</v>
      </c>
      <c r="C1087" s="4">
        <f>AVERAGE(C461:C472)</f>
        <v>32.316841666666662</v>
      </c>
      <c r="D1087" s="4">
        <f>AVERAGE(D461:D472)</f>
        <v>45.374566666666659</v>
      </c>
      <c r="E1087" s="4">
        <f>AVERAGE(E461:E472)</f>
        <v>213.31144627855932</v>
      </c>
    </row>
    <row r="1088" spans="1:5" ht="15">
      <c r="A1088" s="3">
        <f t="shared" si="0"/>
        <v>2053</v>
      </c>
      <c r="B1088" s="4">
        <f>AVERAGE(B473:B484)</f>
        <v>33.181750000000001</v>
      </c>
      <c r="C1088" s="4">
        <f>AVERAGE(C473:C484)</f>
        <v>32.818491666666667</v>
      </c>
      <c r="D1088" s="4">
        <f>AVERAGE(D473:D484)</f>
        <v>46.143558333333338</v>
      </c>
      <c r="E1088" s="4">
        <f>AVERAGE(E473:E484)</f>
        <v>217.09092211753554</v>
      </c>
    </row>
    <row r="1089" spans="1:5" ht="15">
      <c r="A1089" s="3">
        <f t="shared" si="0"/>
        <v>2054</v>
      </c>
      <c r="B1089" s="4">
        <f>AVERAGE(B485:B496)</f>
        <v>33.691308333333332</v>
      </c>
      <c r="C1089" s="4">
        <f>AVERAGE(C485:C496)</f>
        <v>33.328016666666663</v>
      </c>
      <c r="D1089" s="4">
        <f>AVERAGE(D485:D496)</f>
        <v>46.926116666666665</v>
      </c>
      <c r="E1089" s="4">
        <f>AVERAGE(E485:E496)</f>
        <v>220.93736312817293</v>
      </c>
    </row>
    <row r="1090" spans="1:5" ht="15">
      <c r="A1090" s="3">
        <f t="shared" si="0"/>
        <v>2055</v>
      </c>
      <c r="B1090" s="4">
        <f>AVERAGE(B497:B508)</f>
        <v>34.208841666666665</v>
      </c>
      <c r="C1090" s="4">
        <f>AVERAGE(C497:C508)</f>
        <v>33.845566666666663</v>
      </c>
      <c r="D1090" s="4">
        <f>AVERAGE(D497:D508)</f>
        <v>47.722508333333337</v>
      </c>
      <c r="E1090" s="4">
        <f>AVERAGE(E497:E508)</f>
        <v>224.85195580680258</v>
      </c>
    </row>
    <row r="1091" spans="1:5" ht="15">
      <c r="A1091" s="3">
        <f t="shared" si="0"/>
        <v>2056</v>
      </c>
      <c r="B1091" s="4">
        <f>AVERAGE(B509:B520)</f>
        <v>34.734533333333339</v>
      </c>
      <c r="C1091" s="4">
        <f>AVERAGE(C509:C520)</f>
        <v>34.371249999999996</v>
      </c>
      <c r="D1091" s="4">
        <f>AVERAGE(D509:D520)</f>
        <v>48.53295</v>
      </c>
      <c r="E1091" s="4">
        <f>AVERAGE(E509:E520)</f>
        <v>228.83590767222924</v>
      </c>
    </row>
    <row r="1092" spans="1:5" ht="15">
      <c r="A1092" s="3">
        <f t="shared" si="0"/>
        <v>2057</v>
      </c>
      <c r="B1092" s="4">
        <f>AVERAGE(B521:B532)</f>
        <v>35.268466666666669</v>
      </c>
      <c r="C1092" s="4">
        <f>AVERAGE(C521:C532)</f>
        <v>34.905191666666674</v>
      </c>
      <c r="D1092" s="4">
        <f>AVERAGE(D521:D532)</f>
        <v>49.357724999999995</v>
      </c>
      <c r="E1092" s="4">
        <f>AVERAGE(E521:E532)</f>
        <v>232.89044763820894</v>
      </c>
    </row>
    <row r="1093" spans="1:5" ht="15">
      <c r="A1093" s="3">
        <f t="shared" si="0"/>
        <v>2058</v>
      </c>
      <c r="B1093" s="4">
        <f>AVERAGE(B533:B544)</f>
        <v>35.810816666666668</v>
      </c>
      <c r="C1093" s="4">
        <f>AVERAGE(C533:C544)</f>
        <v>35.447525000000006</v>
      </c>
      <c r="D1093" s="4">
        <f>AVERAGE(D533:D544)</f>
        <v>50.197099999999999</v>
      </c>
      <c r="E1093" s="4">
        <f>AVERAGE(E533:E544)</f>
        <v>237.01682639252795</v>
      </c>
    </row>
    <row r="1094" spans="1:5" ht="15">
      <c r="A1094" s="3">
        <f t="shared" si="0"/>
        <v>2059</v>
      </c>
      <c r="B1094" s="4">
        <f>AVERAGE(B545:B556)</f>
        <v>36.361691666666665</v>
      </c>
      <c r="C1094" s="4">
        <f>AVERAGE(C545:C556)</f>
        <v>35.99839166666667</v>
      </c>
      <c r="D1094" s="4">
        <f>AVERAGE(D545:D556)</f>
        <v>51.05125833333333</v>
      </c>
      <c r="E1094" s="4">
        <f>AVERAGE(E545:E556)</f>
        <v>241.21631678279758</v>
      </c>
    </row>
    <row r="1095" spans="1:5" ht="15">
      <c r="A1095" s="3">
        <f t="shared" si="0"/>
        <v>2060</v>
      </c>
      <c r="B1095" s="4">
        <f>AVERAGE(B557:B568)</f>
        <v>36.921233333333333</v>
      </c>
      <c r="C1095" s="4">
        <f>AVERAGE(C557:C568)</f>
        <v>36.557933333333331</v>
      </c>
      <c r="D1095" s="4">
        <f>AVERAGE(D557:D568)</f>
        <v>51.920533333333339</v>
      </c>
      <c r="E1095" s="4">
        <f>AVERAGE(E557:E568)</f>
        <v>245.49021420908386</v>
      </c>
    </row>
    <row r="1096" spans="1:5" ht="15">
      <c r="A1096" s="3">
        <f t="shared" si="0"/>
        <v>2061</v>
      </c>
      <c r="B1096" s="4">
        <f>AVERAGE(B569:B580)</f>
        <v>37.489558333333335</v>
      </c>
      <c r="C1096" s="4">
        <f>AVERAGE(C569:C580)</f>
        <v>37.126275000000007</v>
      </c>
      <c r="D1096" s="4">
        <f>AVERAGE(D569:D580)</f>
        <v>52.805158333333331</v>
      </c>
      <c r="E1096" s="4">
        <f>AVERAGE(E569:E580)</f>
        <v>249.83983702349511</v>
      </c>
    </row>
    <row r="1097" spans="1:5" ht="15">
      <c r="A1097" s="3">
        <f t="shared" si="0"/>
        <v>2062</v>
      </c>
      <c r="B1097" s="4">
        <f t="shared" ref="B1097:E1116" ca="1" si="1">AVERAGE(OFFSET(B$581,($A1097-$A$1097)*12,0,12,1))</f>
        <v>38.066849999999995</v>
      </c>
      <c r="C1097" s="4">
        <f t="shared" ca="1" si="1"/>
        <v>37.703558333333334</v>
      </c>
      <c r="D1097" s="4">
        <f t="shared" ca="1" si="1"/>
        <v>53.705408333333338</v>
      </c>
      <c r="E1097" s="4">
        <f t="shared" ca="1" si="1"/>
        <v>254.26652693684795</v>
      </c>
    </row>
    <row r="1098" spans="1:5" ht="15">
      <c r="A1098" s="3">
        <f t="shared" si="0"/>
        <v>2063</v>
      </c>
      <c r="B1098" s="4">
        <f t="shared" ca="1" si="1"/>
        <v>38.653174999999997</v>
      </c>
      <c r="C1098" s="4">
        <f t="shared" ca="1" si="1"/>
        <v>38.289891666666662</v>
      </c>
      <c r="D1098" s="4">
        <f t="shared" ca="1" si="1"/>
        <v>54.621575000000007</v>
      </c>
      <c r="E1098" s="4">
        <f t="shared" ca="1" si="1"/>
        <v>258.7716494325399</v>
      </c>
    </row>
    <row r="1099" spans="1:5" ht="15">
      <c r="A1099" s="3">
        <f t="shared" si="0"/>
        <v>2064</v>
      </c>
      <c r="B1099" s="4">
        <f t="shared" ca="1" si="1"/>
        <v>39.248733333333341</v>
      </c>
      <c r="C1099" s="4">
        <f t="shared" ca="1" si="1"/>
        <v>38.885466666666673</v>
      </c>
      <c r="D1099" s="4">
        <f t="shared" ca="1" si="1"/>
        <v>55.553941666666667</v>
      </c>
      <c r="E1099" s="4">
        <f t="shared" ca="1" si="1"/>
        <v>263.35659418775504</v>
      </c>
    </row>
    <row r="1100" spans="1:5" ht="15">
      <c r="A1100" s="3">
        <f t="shared" si="0"/>
        <v>2065</v>
      </c>
      <c r="B1100" s="4">
        <f t="shared" ca="1" si="1"/>
        <v>39.853683333333329</v>
      </c>
      <c r="C1100" s="4">
        <f t="shared" ca="1" si="1"/>
        <v>39.490400000000001</v>
      </c>
      <c r="D1100" s="4">
        <f t="shared" ca="1" si="1"/>
        <v>56.502758333333333</v>
      </c>
      <c r="E1100" s="4">
        <f t="shared" ca="1" si="1"/>
        <v>268.02277550213159</v>
      </c>
    </row>
    <row r="1101" spans="1:5" ht="15">
      <c r="A1101" s="3">
        <f t="shared" si="0"/>
        <v>2066</v>
      </c>
      <c r="B1101" s="4">
        <f t="shared" ca="1" si="1"/>
        <v>40.468125000000001</v>
      </c>
      <c r="C1101" s="4">
        <f t="shared" ca="1" si="1"/>
        <v>40.104841666666665</v>
      </c>
      <c r="D1101" s="4">
        <f t="shared" ca="1" si="1"/>
        <v>57.468341666666667</v>
      </c>
      <c r="E1101" s="4">
        <f t="shared" ca="1" si="1"/>
        <v>272.77163273402499</v>
      </c>
    </row>
    <row r="1102" spans="1:5" ht="15">
      <c r="A1102" s="3">
        <f t="shared" si="0"/>
        <v>2067</v>
      </c>
      <c r="B1102" s="4">
        <f t="shared" ca="1" si="1"/>
        <v>41.092233333333333</v>
      </c>
      <c r="C1102" s="4">
        <f t="shared" ca="1" si="1"/>
        <v>40.728958333333331</v>
      </c>
      <c r="D1102" s="4">
        <f t="shared" ca="1" si="1"/>
        <v>58.451008333333334</v>
      </c>
      <c r="E1102" s="4">
        <f t="shared" ca="1" si="1"/>
        <v>277.604630744502</v>
      </c>
    </row>
    <row r="1103" spans="1:5" ht="15">
      <c r="A1103" s="3">
        <f t="shared" si="0"/>
        <v>2068</v>
      </c>
      <c r="B1103" s="4">
        <f t="shared" ca="1" si="1"/>
        <v>41.726141666666656</v>
      </c>
      <c r="C1103" s="4">
        <f t="shared" ca="1" si="1"/>
        <v>41.362866666666669</v>
      </c>
      <c r="D1103" s="4">
        <f t="shared" ca="1" si="1"/>
        <v>59.451008333333341</v>
      </c>
      <c r="E1103" s="4">
        <f t="shared" ca="1" si="1"/>
        <v>282.52326034920014</v>
      </c>
    </row>
    <row r="1104" spans="1:5" ht="15">
      <c r="A1104" s="3">
        <f t="shared" si="0"/>
        <v>2069</v>
      </c>
      <c r="B1104" s="4">
        <f t="shared" ca="1" si="1"/>
        <v>42.370041666666673</v>
      </c>
      <c r="C1104" s="4">
        <f t="shared" ca="1" si="1"/>
        <v>42.006749999999997</v>
      </c>
      <c r="D1104" s="4">
        <f t="shared" ca="1" si="1"/>
        <v>60.468674999999998</v>
      </c>
      <c r="E1104" s="4">
        <f t="shared" ca="1" si="1"/>
        <v>287.52903877819324</v>
      </c>
    </row>
    <row r="1105" spans="1:5" ht="15">
      <c r="A1105" s="3">
        <f t="shared" ref="A1105:A1135" si="2">A1104+1</f>
        <v>2070</v>
      </c>
      <c r="B1105" s="4">
        <f t="shared" ca="1" si="1"/>
        <v>43.024049999999995</v>
      </c>
      <c r="C1105" s="4">
        <f t="shared" ca="1" si="1"/>
        <v>42.660775000000001</v>
      </c>
      <c r="D1105" s="4">
        <f t="shared" ca="1" si="1"/>
        <v>61.504341666666654</v>
      </c>
      <c r="E1105" s="4">
        <f t="shared" ca="1" si="1"/>
        <v>292.62351014400559</v>
      </c>
    </row>
    <row r="1106" spans="1:5" ht="15">
      <c r="A1106" s="3">
        <f t="shared" si="2"/>
        <v>2071</v>
      </c>
      <c r="B1106" s="4">
        <f t="shared" ca="1" si="1"/>
        <v>43.688349999999993</v>
      </c>
      <c r="C1106" s="4">
        <f t="shared" ca="1" si="1"/>
        <v>43.325075000000005</v>
      </c>
      <c r="D1106" s="4">
        <f t="shared" ca="1" si="1"/>
        <v>62.558316666666663</v>
      </c>
      <c r="E1106" s="4">
        <f t="shared" ca="1" si="1"/>
        <v>297.80824591791895</v>
      </c>
    </row>
    <row r="1107" spans="1:5" ht="15">
      <c r="A1107" s="3">
        <f t="shared" si="2"/>
        <v>2072</v>
      </c>
      <c r="B1107" s="4">
        <f t="shared" ca="1" si="1"/>
        <v>44.363108333333336</v>
      </c>
      <c r="C1107" s="4">
        <f t="shared" ca="1" si="1"/>
        <v>43.999808333333334</v>
      </c>
      <c r="D1107" s="4">
        <f t="shared" ca="1" si="1"/>
        <v>63.630891666666678</v>
      </c>
      <c r="E1107" s="4">
        <f t="shared" ca="1" si="1"/>
        <v>303.08484541471637</v>
      </c>
    </row>
    <row r="1108" spans="1:5" ht="15">
      <c r="A1108" s="3">
        <f t="shared" si="2"/>
        <v>2073</v>
      </c>
      <c r="B1108" s="4">
        <f t="shared" ca="1" si="1"/>
        <v>45.048466666666663</v>
      </c>
      <c r="C1108" s="4">
        <f t="shared" ca="1" si="1"/>
        <v>44.685174999999994</v>
      </c>
      <c r="D1108" s="4">
        <f t="shared" ca="1" si="1"/>
        <v>64.72240833333332</v>
      </c>
      <c r="E1108" s="4">
        <f t="shared" ca="1" si="1"/>
        <v>308.45493628601827</v>
      </c>
    </row>
    <row r="1109" spans="1:5" ht="15">
      <c r="A1109" s="3">
        <f t="shared" si="2"/>
        <v>2074</v>
      </c>
      <c r="B1109" s="4">
        <f t="shared" ca="1" si="1"/>
        <v>45.744591666666672</v>
      </c>
      <c r="C1109" s="4">
        <f t="shared" ca="1" si="1"/>
        <v>45.38131666666667</v>
      </c>
      <c r="D1109" s="4">
        <f t="shared" ca="1" si="1"/>
        <v>65.833224999999985</v>
      </c>
      <c r="E1109" s="4">
        <f t="shared" ca="1" si="1"/>
        <v>313.92017502235626</v>
      </c>
    </row>
    <row r="1110" spans="1:5" ht="15">
      <c r="A1110" s="3">
        <f t="shared" si="2"/>
        <v>2075</v>
      </c>
      <c r="B1110" s="4">
        <f t="shared" ca="1" si="1"/>
        <v>46.451675000000002</v>
      </c>
      <c r="C1110" s="4">
        <f t="shared" ca="1" si="1"/>
        <v>46.088391666666674</v>
      </c>
      <c r="D1110" s="4">
        <f t="shared" ca="1" si="1"/>
        <v>66.963666666666668</v>
      </c>
      <c r="E1110" s="4">
        <f t="shared" ca="1" si="1"/>
        <v>319.48224746414513</v>
      </c>
    </row>
    <row r="1111" spans="1:5" ht="15">
      <c r="A1111" s="3">
        <f t="shared" si="2"/>
        <v>2076</v>
      </c>
      <c r="B1111" s="4">
        <f t="shared" ca="1" si="1"/>
        <v>47.169883333333338</v>
      </c>
      <c r="C1111" s="4">
        <f t="shared" ca="1" si="1"/>
        <v>46.806591666666669</v>
      </c>
      <c r="D1111" s="4">
        <f t="shared" ca="1" si="1"/>
        <v>68.114100000000008</v>
      </c>
      <c r="E1111" s="4">
        <f t="shared" ca="1" si="1"/>
        <v>325.14286932170648</v>
      </c>
    </row>
    <row r="1112" spans="1:5" ht="15">
      <c r="A1112" s="3">
        <f t="shared" si="2"/>
        <v>2077</v>
      </c>
      <c r="B1112" s="4">
        <f t="shared" ca="1" si="1"/>
        <v>47.899375000000013</v>
      </c>
      <c r="C1112" s="4">
        <f t="shared" ca="1" si="1"/>
        <v>47.53608333333333</v>
      </c>
      <c r="D1112" s="4">
        <f t="shared" ca="1" si="1"/>
        <v>69.284816666666657</v>
      </c>
      <c r="E1112" s="4">
        <f t="shared" ca="1" si="1"/>
        <v>330.90378670450815</v>
      </c>
    </row>
    <row r="1113" spans="1:5" ht="15">
      <c r="A1113" s="3">
        <f t="shared" si="2"/>
        <v>2078</v>
      </c>
      <c r="B1113" s="4">
        <f t="shared" ca="1" si="1"/>
        <v>48.640333333333331</v>
      </c>
      <c r="C1113" s="4">
        <f t="shared" ca="1" si="1"/>
        <v>48.277041666666669</v>
      </c>
      <c r="D1113" s="4">
        <f t="shared" ca="1" si="1"/>
        <v>70.476258333333334</v>
      </c>
      <c r="E1113" s="4">
        <f t="shared" ca="1" si="1"/>
        <v>336.76677665977854</v>
      </c>
    </row>
    <row r="1114" spans="1:5" ht="15">
      <c r="A1114" s="3">
        <f t="shared" si="2"/>
        <v>2079</v>
      </c>
      <c r="B1114" s="4">
        <f t="shared" ca="1" si="1"/>
        <v>49.392949999999992</v>
      </c>
      <c r="C1114" s="4">
        <f t="shared" ca="1" si="1"/>
        <v>49.029675000000005</v>
      </c>
      <c r="D1114" s="4">
        <f t="shared" ca="1" si="1"/>
        <v>71.688725000000019</v>
      </c>
      <c r="E1114" s="4">
        <f t="shared" ca="1" si="1"/>
        <v>342.73364772066526</v>
      </c>
    </row>
    <row r="1115" spans="1:5" ht="15">
      <c r="A1115" s="3">
        <f t="shared" si="2"/>
        <v>2080</v>
      </c>
      <c r="B1115" s="4">
        <f t="shared" ca="1" si="1"/>
        <v>50.157391666666676</v>
      </c>
      <c r="C1115" s="4">
        <f t="shared" ca="1" si="1"/>
        <v>49.794108333333327</v>
      </c>
      <c r="D1115" s="4">
        <f t="shared" ca="1" si="1"/>
        <v>72.922624999999996</v>
      </c>
      <c r="E1115" s="4">
        <f t="shared" ca="1" si="1"/>
        <v>348.80624046410753</v>
      </c>
    </row>
    <row r="1116" spans="1:5" ht="15">
      <c r="A1116" s="3">
        <f t="shared" si="2"/>
        <v>2081</v>
      </c>
      <c r="B1116" s="4">
        <f t="shared" ca="1" si="1"/>
        <v>50.933875</v>
      </c>
      <c r="C1116" s="4">
        <f t="shared" ca="1" si="1"/>
        <v>50.570583333333339</v>
      </c>
      <c r="D1116" s="4">
        <f t="shared" ca="1" si="1"/>
        <v>74.178341666666668</v>
      </c>
      <c r="E1116" s="4">
        <f t="shared" ca="1" si="1"/>
        <v>354.98642807859028</v>
      </c>
    </row>
    <row r="1117" spans="1:5" ht="15">
      <c r="A1117" s="3">
        <f t="shared" si="2"/>
        <v>2082</v>
      </c>
      <c r="B1117" s="4">
        <f t="shared" ref="B1117:E1135" ca="1" si="3">AVERAGE(OFFSET(B$581,($A1117-$A$1097)*12,0,12,1))</f>
        <v>51.722541666666672</v>
      </c>
      <c r="C1117" s="4">
        <f t="shared" ca="1" si="3"/>
        <v>51.359266666666677</v>
      </c>
      <c r="D1117" s="4">
        <f t="shared" ca="1" si="3"/>
        <v>75.456225000000003</v>
      </c>
      <c r="E1117" s="4">
        <f t="shared" ca="1" si="3"/>
        <v>361.2761169419594</v>
      </c>
    </row>
    <row r="1118" spans="1:5" ht="15">
      <c r="A1118" s="3">
        <f t="shared" si="2"/>
        <v>2083</v>
      </c>
      <c r="B1118" s="4">
        <f t="shared" ca="1" si="3"/>
        <v>52.523633333333329</v>
      </c>
      <c r="C1118" s="4">
        <f t="shared" ca="1" si="3"/>
        <v>52.160358333333335</v>
      </c>
      <c r="D1118" s="4">
        <f t="shared" ca="1" si="3"/>
        <v>76.756683333333356</v>
      </c>
      <c r="E1118" s="4">
        <f t="shared" ca="1" si="3"/>
        <v>367.6772472094749</v>
      </c>
    </row>
    <row r="1119" spans="1:5" ht="15">
      <c r="A1119" s="3">
        <f t="shared" si="2"/>
        <v>2084</v>
      </c>
      <c r="B1119" s="4">
        <f t="shared" ca="1" si="3"/>
        <v>53.337325</v>
      </c>
      <c r="C1119" s="4">
        <f t="shared" ca="1" si="3"/>
        <v>52.974025000000005</v>
      </c>
      <c r="D1119" s="4">
        <f t="shared" ca="1" si="3"/>
        <v>78.080100000000002</v>
      </c>
      <c r="E1119" s="4">
        <f t="shared" ca="1" si="3"/>
        <v>374.19179341228238</v>
      </c>
    </row>
    <row r="1120" spans="1:5" ht="15">
      <c r="A1120" s="3">
        <f t="shared" si="2"/>
        <v>2085</v>
      </c>
      <c r="B1120" s="4">
        <f t="shared" ca="1" si="3"/>
        <v>54.163800000000002</v>
      </c>
      <c r="C1120" s="4">
        <f t="shared" ca="1" si="3"/>
        <v>53.800508333333333</v>
      </c>
      <c r="D1120" s="4">
        <f t="shared" ca="1" si="3"/>
        <v>79.426958333333332</v>
      </c>
      <c r="E1120" s="4">
        <f t="shared" ca="1" si="3"/>
        <v>380.82176506648966</v>
      </c>
    </row>
    <row r="1121" spans="1:5" ht="15">
      <c r="A1121" s="3">
        <f t="shared" si="2"/>
        <v>2086</v>
      </c>
      <c r="B1121" s="4">
        <f t="shared" ca="1" si="3"/>
        <v>55.003250000000001</v>
      </c>
      <c r="C1121" s="4">
        <f t="shared" ca="1" si="3"/>
        <v>54.639974999999993</v>
      </c>
      <c r="D1121" s="4">
        <f t="shared" ca="1" si="3"/>
        <v>80.797558333333342</v>
      </c>
      <c r="E1121" s="4">
        <f t="shared" ca="1" si="3"/>
        <v>387.56920729303323</v>
      </c>
    </row>
    <row r="1122" spans="1:5" ht="15">
      <c r="A1122" s="3">
        <f t="shared" si="2"/>
        <v>2087</v>
      </c>
      <c r="B1122" s="4">
        <f t="shared" ca="1" si="3"/>
        <v>55.855908333333339</v>
      </c>
      <c r="C1122" s="4">
        <f t="shared" ca="1" si="3"/>
        <v>55.492649999999998</v>
      </c>
      <c r="D1122" s="4">
        <f t="shared" ca="1" si="3"/>
        <v>82.192391666666666</v>
      </c>
      <c r="E1122" s="4">
        <f t="shared" ca="1" si="3"/>
        <v>394.43620144852849</v>
      </c>
    </row>
    <row r="1123" spans="1:5" ht="15">
      <c r="A1123" s="3">
        <f t="shared" si="2"/>
        <v>2088</v>
      </c>
      <c r="B1123" s="4">
        <f t="shared" ca="1" si="3"/>
        <v>56.722008333333328</v>
      </c>
      <c r="C1123" s="4">
        <f t="shared" ca="1" si="3"/>
        <v>56.358725</v>
      </c>
      <c r="D1123" s="4">
        <f t="shared" ca="1" si="3"/>
        <v>83.611883333333338</v>
      </c>
      <c r="E1123" s="4">
        <f t="shared" ca="1" si="3"/>
        <v>401.42486576729817</v>
      </c>
    </row>
    <row r="1124" spans="1:5" ht="15">
      <c r="A1124" s="3">
        <f t="shared" si="2"/>
        <v>2089</v>
      </c>
      <c r="B1124" s="4">
        <f t="shared" ca="1" si="3"/>
        <v>57.601716666666675</v>
      </c>
      <c r="C1124" s="4">
        <f t="shared" ca="1" si="3"/>
        <v>57.238425000000007</v>
      </c>
      <c r="D1124" s="4">
        <f t="shared" ca="1" si="3"/>
        <v>85.056449999999998</v>
      </c>
      <c r="E1124" s="4">
        <f t="shared" ca="1" si="3"/>
        <v>408.53735601477615</v>
      </c>
    </row>
    <row r="1125" spans="1:5" ht="15">
      <c r="A1125" s="3">
        <f t="shared" si="2"/>
        <v>2090</v>
      </c>
      <c r="B1125" s="4">
        <f t="shared" ca="1" si="3"/>
        <v>58.495224999999998</v>
      </c>
      <c r="C1125" s="4">
        <f t="shared" ca="1" si="3"/>
        <v>58.131958333333323</v>
      </c>
      <c r="D1125" s="4">
        <f t="shared" ca="1" si="3"/>
        <v>86.526516666666666</v>
      </c>
      <c r="E1125" s="4">
        <f t="shared" ca="1" si="3"/>
        <v>415.77586615248651</v>
      </c>
    </row>
    <row r="1126" spans="1:5" ht="15">
      <c r="A1126" s="3">
        <f t="shared" si="2"/>
        <v>2091</v>
      </c>
      <c r="B1126" s="4">
        <f t="shared" ca="1" si="3"/>
        <v>59.402825</v>
      </c>
      <c r="C1126" s="4">
        <f t="shared" ca="1" si="3"/>
        <v>59.039541666666672</v>
      </c>
      <c r="D1126" s="4">
        <f t="shared" ca="1" si="3"/>
        <v>88.022575000000003</v>
      </c>
      <c r="E1126" s="4">
        <f t="shared" ca="1" si="3"/>
        <v>423.14262901480635</v>
      </c>
    </row>
    <row r="1127" spans="1:5" ht="15">
      <c r="A1127" s="3">
        <f t="shared" si="2"/>
        <v>2092</v>
      </c>
      <c r="B1127" s="4">
        <f t="shared" ca="1" si="3"/>
        <v>60.324691666666666</v>
      </c>
      <c r="C1127" s="4">
        <f t="shared" ca="1" si="3"/>
        <v>59.961400000000005</v>
      </c>
      <c r="D1127" s="4">
        <f t="shared" ca="1" si="3"/>
        <v>89.545066666666671</v>
      </c>
      <c r="E1127" s="4">
        <f t="shared" ca="1" si="3"/>
        <v>430.63991699772032</v>
      </c>
    </row>
    <row r="1128" spans="1:5" ht="15">
      <c r="A1128" s="3">
        <f t="shared" si="2"/>
        <v>2093</v>
      </c>
      <c r="B1128" s="4">
        <f t="shared" ca="1" si="3"/>
        <v>61.261033333333337</v>
      </c>
      <c r="C1128" s="4">
        <f t="shared" ca="1" si="3"/>
        <v>60.897733333333328</v>
      </c>
      <c r="D1128" s="4">
        <f t="shared" ca="1" si="3"/>
        <v>91.094449999999995</v>
      </c>
      <c r="E1128" s="4">
        <f t="shared" ca="1" si="3"/>
        <v>438.27004275977629</v>
      </c>
    </row>
    <row r="1129" spans="1:5" ht="15">
      <c r="A1129" s="3">
        <f t="shared" si="2"/>
        <v>2094</v>
      </c>
      <c r="B1129" s="4">
        <f t="shared" ca="1" si="3"/>
        <v>62.212100000000014</v>
      </c>
      <c r="C1129" s="4">
        <f t="shared" ca="1" si="3"/>
        <v>61.848825000000005</v>
      </c>
      <c r="D1129" s="4">
        <f t="shared" ca="1" si="3"/>
        <v>92.67121666666668</v>
      </c>
      <c r="E1129" s="4">
        <f t="shared" ca="1" si="3"/>
        <v>446.03535993546365</v>
      </c>
    </row>
    <row r="1130" spans="1:5" ht="15">
      <c r="A1130" s="3">
        <f t="shared" si="2"/>
        <v>2095</v>
      </c>
      <c r="B1130" s="4">
        <f t="shared" ca="1" si="3"/>
        <v>63.178141666666676</v>
      </c>
      <c r="C1130" s="4">
        <f t="shared" ca="1" si="3"/>
        <v>62.81485</v>
      </c>
      <c r="D1130" s="4">
        <f t="shared" ca="1" si="3"/>
        <v>94.275833333333324</v>
      </c>
      <c r="E1130" s="4">
        <f t="shared" ca="1" si="3"/>
        <v>453.93826386122669</v>
      </c>
    </row>
    <row r="1131" spans="1:5" ht="15">
      <c r="A1131" s="3">
        <f t="shared" si="2"/>
        <v>2096</v>
      </c>
      <c r="B1131" s="4">
        <f t="shared" ca="1" si="3"/>
        <v>64.159358333333344</v>
      </c>
      <c r="C1131" s="4">
        <f t="shared" ca="1" si="3"/>
        <v>63.796075000000009</v>
      </c>
      <c r="D1131" s="4">
        <f t="shared" ca="1" si="3"/>
        <v>95.908824999999993</v>
      </c>
      <c r="E1131" s="4">
        <f t="shared" ca="1" si="3"/>
        <v>461.98119231434754</v>
      </c>
    </row>
    <row r="1132" spans="1:5" ht="15">
      <c r="A1132" s="3">
        <f t="shared" si="2"/>
        <v>2097</v>
      </c>
      <c r="B1132" s="4">
        <f t="shared" ca="1" si="3"/>
        <v>65.156000000000006</v>
      </c>
      <c r="C1132" s="4">
        <f t="shared" ca="1" si="3"/>
        <v>64.792725000000004</v>
      </c>
      <c r="D1132" s="4">
        <f t="shared" ca="1" si="3"/>
        <v>97.570641666666674</v>
      </c>
      <c r="E1132" s="4">
        <f t="shared" ca="1" si="3"/>
        <v>470.16662626491598</v>
      </c>
    </row>
    <row r="1133" spans="1:5" ht="15">
      <c r="A1133" s="3">
        <f t="shared" si="2"/>
        <v>2098</v>
      </c>
      <c r="B1133" s="4">
        <f t="shared" ca="1" si="3"/>
        <v>66.168341666666663</v>
      </c>
      <c r="C1133" s="4">
        <f t="shared" ca="1" si="3"/>
        <v>65.805041666666668</v>
      </c>
      <c r="D1133" s="4">
        <f t="shared" ca="1" si="3"/>
        <v>99.261824999999988</v>
      </c>
      <c r="E1133" s="4">
        <f t="shared" ca="1" si="3"/>
        <v>478.49709064112477</v>
      </c>
    </row>
    <row r="1134" spans="1:5" ht="15">
      <c r="A1134" s="3">
        <f t="shared" si="2"/>
        <v>2099</v>
      </c>
      <c r="B1134" s="4">
        <f t="shared" ca="1" si="3"/>
        <v>67.196566666666669</v>
      </c>
      <c r="C1134" s="4">
        <f t="shared" ca="1" si="3"/>
        <v>66.833300000000008</v>
      </c>
      <c r="D1134" s="4">
        <f t="shared" ca="1" si="3"/>
        <v>100.98289999999999</v>
      </c>
      <c r="E1134" s="4">
        <f t="shared" ca="1" si="3"/>
        <v>486.97515510812372</v>
      </c>
    </row>
    <row r="1135" spans="1:5" ht="15">
      <c r="A1135" s="3">
        <f t="shared" si="2"/>
        <v>2100</v>
      </c>
      <c r="B1135" s="4">
        <f t="shared" ca="1" si="3"/>
        <v>68.240975000000006</v>
      </c>
      <c r="C1135" s="4">
        <f t="shared" ca="1" si="3"/>
        <v>67.877700000000004</v>
      </c>
      <c r="D1135" s="4">
        <f t="shared" ca="1" si="3"/>
        <v>102.73438333333331</v>
      </c>
      <c r="E1135" s="4">
        <f t="shared" ca="1" si="3"/>
        <v>495.60343486067512</v>
      </c>
    </row>
    <row r="1136" spans="1:5">
      <c r="A1136" s="32"/>
    </row>
    <row r="1137" spans="1:1">
      <c r="A1137" s="32"/>
    </row>
    <row r="1138" spans="1:1">
      <c r="A1138" s="32"/>
    </row>
    <row r="1139" spans="1:1">
      <c r="A1139" s="32"/>
    </row>
    <row r="1140" spans="1:1">
      <c r="A1140" s="32"/>
    </row>
    <row r="1141" spans="1:1">
      <c r="A1141" s="32"/>
    </row>
    <row r="1142" spans="1:1">
      <c r="A1142" s="32"/>
    </row>
    <row r="1143" spans="1:1">
      <c r="A1143" s="32"/>
    </row>
    <row r="1144" spans="1:1">
      <c r="A1144" s="32"/>
    </row>
    <row r="1145" spans="1:1">
      <c r="A1145" s="32"/>
    </row>
    <row r="1146" spans="1:1">
      <c r="A1146" s="32"/>
    </row>
    <row r="1147" spans="1:1">
      <c r="A1147" s="32"/>
    </row>
    <row r="1148" spans="1:1">
      <c r="A1148" s="32"/>
    </row>
    <row r="1149" spans="1:1">
      <c r="A1149" s="32"/>
    </row>
    <row r="1150" spans="1:1">
      <c r="A1150" s="32"/>
    </row>
    <row r="1151" spans="1:1">
      <c r="A1151" s="32"/>
    </row>
    <row r="1152" spans="1:1">
      <c r="A1152" s="32"/>
    </row>
    <row r="1153" spans="1:1">
      <c r="A1153" s="32"/>
    </row>
    <row r="1154" spans="1:1">
      <c r="A1154" s="32"/>
    </row>
    <row r="1155" spans="1:1">
      <c r="A1155" s="32"/>
    </row>
  </sheetData>
  <mergeCells count="1">
    <mergeCell ref="B14:C14"/>
  </mergeCells>
  <pageMargins left="0.25" right="0.25" top="0.5" bottom="0.5" header="0.25" footer="0.25"/>
  <pageSetup orientation="portrait" horizontalDpi="1200" verticalDpi="1200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133350</xdr:colOff>
                    <xdr:row>9</xdr:row>
                    <xdr:rowOff>171450</xdr:rowOff>
                  </from>
                  <to>
                    <xdr:col>2</xdr:col>
                    <xdr:colOff>666750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3</xdr:col>
                    <xdr:colOff>19050</xdr:colOff>
                    <xdr:row>9</xdr:row>
                    <xdr:rowOff>171450</xdr:rowOff>
                  </from>
                  <to>
                    <xdr:col>4</xdr:col>
                    <xdr:colOff>371475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O1135"/>
  <sheetViews>
    <sheetView zoomScale="70" zoomScaleNormal="70" workbookViewId="0">
      <pane xSplit="1" ySplit="16" topLeftCell="B17" activePane="bottomRight" state="frozen"/>
      <selection activeCell="A7" sqref="A7"/>
      <selection pane="topRight" activeCell="A7" sqref="A7"/>
      <selection pane="bottomLeft" activeCell="A7" sqref="A7"/>
      <selection pane="bottomRight" activeCell="B17" sqref="B17"/>
    </sheetView>
  </sheetViews>
  <sheetFormatPr defaultColWidth="7.109375" defaultRowHeight="12.75"/>
  <cols>
    <col min="1" max="1" width="14.5546875" style="32" customWidth="1"/>
    <col min="2" max="2" width="19" style="32" customWidth="1"/>
    <col min="3" max="3" width="16.109375" style="32" customWidth="1"/>
    <col min="4" max="4" width="20.21875" style="32" customWidth="1"/>
    <col min="5" max="5" width="20.6640625" style="32" customWidth="1"/>
    <col min="6" max="6" width="16.109375" style="32" customWidth="1"/>
    <col min="7" max="9" width="20" style="32" customWidth="1"/>
    <col min="10" max="11" width="19.109375" style="32" customWidth="1"/>
    <col min="12" max="12" width="16.109375" style="32" customWidth="1"/>
    <col min="13" max="15" width="17.6640625" style="32" customWidth="1"/>
    <col min="16" max="16384" width="7.109375" style="32"/>
  </cols>
  <sheetData>
    <row r="1" spans="1:15" ht="15.75">
      <c r="A1" s="84" t="s">
        <v>64</v>
      </c>
    </row>
    <row r="2" spans="1:15" ht="15.75">
      <c r="A2" s="84" t="s">
        <v>65</v>
      </c>
    </row>
    <row r="3" spans="1:15" ht="15.75">
      <c r="A3" s="84" t="s">
        <v>66</v>
      </c>
    </row>
    <row r="4" spans="1:15" ht="15.75">
      <c r="A4" s="84" t="s">
        <v>67</v>
      </c>
    </row>
    <row r="5" spans="1:15" ht="15.75">
      <c r="A5" s="84" t="s">
        <v>69</v>
      </c>
    </row>
    <row r="6" spans="1:15" ht="15.75">
      <c r="A6" s="84" t="s">
        <v>70</v>
      </c>
    </row>
    <row r="9" spans="1:15" ht="15" customHeight="1">
      <c r="A9" s="74" t="s">
        <v>25</v>
      </c>
    </row>
    <row r="10" spans="1:15" ht="15" customHeight="1">
      <c r="A10" s="75"/>
    </row>
    <row r="11" spans="1:15" ht="15" customHeight="1">
      <c r="A11" s="75"/>
    </row>
    <row r="12" spans="1:15" ht="15" customHeight="1">
      <c r="B12" s="74"/>
      <c r="H12" s="71" t="s">
        <v>51</v>
      </c>
    </row>
    <row r="13" spans="1:15" ht="15" customHeight="1">
      <c r="A13" s="74"/>
      <c r="B13" s="73" t="s">
        <v>24</v>
      </c>
      <c r="C13" s="72">
        <f>1-0.141</f>
        <v>0.85899999999999999</v>
      </c>
      <c r="D13" s="73" t="s">
        <v>23</v>
      </c>
      <c r="E13" s="72">
        <f>1+0.141</f>
        <v>1.141</v>
      </c>
      <c r="H13" s="71"/>
      <c r="L13" s="89"/>
      <c r="M13" s="89"/>
      <c r="N13" s="89"/>
      <c r="O13" s="89"/>
    </row>
    <row r="14" spans="1:15" ht="15" customHeight="1">
      <c r="B14" s="88" t="s">
        <v>50</v>
      </c>
      <c r="C14" s="88"/>
      <c r="D14" s="88"/>
      <c r="E14" s="90" t="s">
        <v>49</v>
      </c>
      <c r="F14" s="90"/>
      <c r="G14" s="91"/>
      <c r="H14" s="92" t="s">
        <v>48</v>
      </c>
      <c r="I14" s="92"/>
      <c r="J14" s="91" t="s">
        <v>47</v>
      </c>
      <c r="K14" s="91"/>
      <c r="L14" s="89"/>
      <c r="M14" s="89"/>
      <c r="N14" s="89"/>
      <c r="O14" s="89"/>
    </row>
    <row r="15" spans="1:15" ht="63">
      <c r="B15" s="70" t="s">
        <v>46</v>
      </c>
      <c r="C15" s="69" t="s">
        <v>45</v>
      </c>
      <c r="D15" s="68" t="s">
        <v>44</v>
      </c>
      <c r="E15" s="70" t="s">
        <v>46</v>
      </c>
      <c r="F15" s="69" t="s">
        <v>45</v>
      </c>
      <c r="G15" s="68" t="s">
        <v>44</v>
      </c>
      <c r="H15" s="69" t="s">
        <v>45</v>
      </c>
      <c r="I15" s="68" t="s">
        <v>44</v>
      </c>
      <c r="J15" s="69" t="s">
        <v>45</v>
      </c>
      <c r="K15" s="68" t="s">
        <v>44</v>
      </c>
      <c r="L15" s="60"/>
      <c r="M15" s="67"/>
      <c r="N15" s="67"/>
      <c r="O15" s="67"/>
    </row>
    <row r="16" spans="1:15" ht="20.25">
      <c r="A16" s="24" t="s">
        <v>2</v>
      </c>
      <c r="B16" s="66" t="s">
        <v>1</v>
      </c>
      <c r="C16" s="66" t="s">
        <v>1</v>
      </c>
      <c r="D16" s="66" t="s">
        <v>1</v>
      </c>
      <c r="E16" s="66" t="s">
        <v>1</v>
      </c>
      <c r="F16" s="66" t="s">
        <v>1</v>
      </c>
      <c r="G16" s="66" t="s">
        <v>1</v>
      </c>
      <c r="H16" s="66" t="s">
        <v>1</v>
      </c>
      <c r="I16" s="66" t="s">
        <v>1</v>
      </c>
      <c r="J16" s="66" t="s">
        <v>1</v>
      </c>
      <c r="K16" s="66" t="s">
        <v>1</v>
      </c>
      <c r="L16" s="65"/>
      <c r="M16" s="65"/>
      <c r="N16" s="65"/>
      <c r="O16" s="65"/>
    </row>
    <row r="17" spans="1:14" ht="15">
      <c r="A17" s="13">
        <v>42005</v>
      </c>
      <c r="B17" s="63">
        <f>2.4907 * CHOOSE(CONTROL!$C$22, $C$13, 100%, $E$13)</f>
        <v>2.4906999999999999</v>
      </c>
      <c r="C17" s="63">
        <f>2.5129 * CHOOSE(CONTROL!$C$22, $C$13, 100%, $E$13)</f>
        <v>2.5129000000000001</v>
      </c>
      <c r="D17" s="63">
        <f>2.5129 * CHOOSE(CONTROL!$C$22, $C$13, 100%, $E$13)</f>
        <v>2.5129000000000001</v>
      </c>
      <c r="E17" s="64">
        <f>3.1876 * CHOOSE(CONTROL!$C$22, $C$13, 100%, $E$13)</f>
        <v>3.1876000000000002</v>
      </c>
      <c r="F17" s="64">
        <f>3.254 * CHOOSE(CONTROL!$C$22, $C$13, 100%, $E$13)</f>
        <v>3.254</v>
      </c>
      <c r="G17" s="64">
        <f>3.2541 * CHOOSE(CONTROL!$C$22, $C$13, 100%, $E$13)</f>
        <v>3.2541000000000002</v>
      </c>
      <c r="H17" s="64">
        <f>5.613* CHOOSE(CONTROL!$C$22, $C$13, 100%, $E$13)</f>
        <v>5.6130000000000004</v>
      </c>
      <c r="I17" s="64">
        <f>5.6131 * CHOOSE(CONTROL!$C$22, $C$13, 100%, $E$13)</f>
        <v>5.6131000000000002</v>
      </c>
      <c r="J17" s="64">
        <f>3.1876 * CHOOSE(CONTROL!$C$22, $C$13, 100%, $E$13)</f>
        <v>3.1876000000000002</v>
      </c>
      <c r="K17" s="64">
        <f>3.1877 * CHOOSE(CONTROL!$C$22, $C$13, 100%, $E$13)</f>
        <v>3.1877</v>
      </c>
      <c r="L17" s="4"/>
      <c r="M17" s="64"/>
      <c r="N17" s="64"/>
    </row>
    <row r="18" spans="1:14" ht="15">
      <c r="A18" s="13">
        <v>42036</v>
      </c>
      <c r="B18" s="63">
        <f>2.4906 * CHOOSE(CONTROL!$C$22, $C$13, 100%, $E$13)</f>
        <v>2.4906000000000001</v>
      </c>
      <c r="C18" s="63">
        <f>2.5152 * CHOOSE(CONTROL!$C$22, $C$13, 100%, $E$13)</f>
        <v>2.5152000000000001</v>
      </c>
      <c r="D18" s="63">
        <f>2.5152 * CHOOSE(CONTROL!$C$22, $C$13, 100%, $E$13)</f>
        <v>2.5152000000000001</v>
      </c>
      <c r="E18" s="64">
        <f>3.1987 * CHOOSE(CONTROL!$C$22, $C$13, 100%, $E$13)</f>
        <v>3.1987000000000001</v>
      </c>
      <c r="F18" s="64">
        <f>3.254 * CHOOSE(CONTROL!$C$22, $C$13, 100%, $E$13)</f>
        <v>3.254</v>
      </c>
      <c r="G18" s="64">
        <f>3.2541 * CHOOSE(CONTROL!$C$22, $C$13, 100%, $E$13)</f>
        <v>3.2541000000000002</v>
      </c>
      <c r="H18" s="64">
        <f>5.613* CHOOSE(CONTROL!$C$22, $C$13, 100%, $E$13)</f>
        <v>5.6130000000000004</v>
      </c>
      <c r="I18" s="64">
        <f>5.6131 * CHOOSE(CONTROL!$C$22, $C$13, 100%, $E$13)</f>
        <v>5.6131000000000002</v>
      </c>
      <c r="J18" s="64">
        <f>3.1987 * CHOOSE(CONTROL!$C$22, $C$13, 100%, $E$13)</f>
        <v>3.1987000000000001</v>
      </c>
      <c r="K18" s="64">
        <f>3.1987 * CHOOSE(CONTROL!$C$22, $C$13, 100%, $E$13)</f>
        <v>3.1987000000000001</v>
      </c>
      <c r="L18" s="4"/>
      <c r="M18" s="64"/>
      <c r="N18" s="64"/>
    </row>
    <row r="19" spans="1:14" ht="15">
      <c r="A19" s="13">
        <v>42064</v>
      </c>
      <c r="B19" s="63">
        <f>2.4913 * CHOOSE(CONTROL!$C$22, $C$13, 100%, $E$13)</f>
        <v>2.4912999999999998</v>
      </c>
      <c r="C19" s="63">
        <f>2.5122 * CHOOSE(CONTROL!$C$22, $C$13, 100%, $E$13)</f>
        <v>2.5122</v>
      </c>
      <c r="D19" s="63">
        <f>2.5122 * CHOOSE(CONTROL!$C$22, $C$13, 100%, $E$13)</f>
        <v>2.5122</v>
      </c>
      <c r="E19" s="64">
        <f>3.1433 * CHOOSE(CONTROL!$C$22, $C$13, 100%, $E$13)</f>
        <v>3.1433</v>
      </c>
      <c r="F19" s="64">
        <f>3.254 * CHOOSE(CONTROL!$C$22, $C$13, 100%, $E$13)</f>
        <v>3.254</v>
      </c>
      <c r="G19" s="64">
        <f>3.2541 * CHOOSE(CONTROL!$C$22, $C$13, 100%, $E$13)</f>
        <v>3.2541000000000002</v>
      </c>
      <c r="H19" s="64">
        <f>5.613* CHOOSE(CONTROL!$C$22, $C$13, 100%, $E$13)</f>
        <v>5.6130000000000004</v>
      </c>
      <c r="I19" s="64">
        <f>5.6131 * CHOOSE(CONTROL!$C$22, $C$13, 100%, $E$13)</f>
        <v>5.6131000000000002</v>
      </c>
      <c r="J19" s="64">
        <f>3.1433 * CHOOSE(CONTROL!$C$22, $C$13, 100%, $E$13)</f>
        <v>3.1433</v>
      </c>
      <c r="K19" s="64">
        <f>3.1434 * CHOOSE(CONTROL!$C$22, $C$13, 100%, $E$13)</f>
        <v>3.1434000000000002</v>
      </c>
      <c r="L19" s="4"/>
      <c r="M19" s="64"/>
      <c r="N19" s="64"/>
    </row>
    <row r="20" spans="1:14" ht="15">
      <c r="A20" s="13">
        <v>42095</v>
      </c>
      <c r="B20" s="63">
        <f>2.489 * CHOOSE(CONTROL!$C$22, $C$13, 100%, $E$13)</f>
        <v>2.4889999999999999</v>
      </c>
      <c r="C20" s="63">
        <f>2.5091 * CHOOSE(CONTROL!$C$22, $C$13, 100%, $E$13)</f>
        <v>2.5091000000000001</v>
      </c>
      <c r="D20" s="63">
        <f>2.5091 * CHOOSE(CONTROL!$C$22, $C$13, 100%, $E$13)</f>
        <v>2.5091000000000001</v>
      </c>
      <c r="E20" s="64">
        <f>3.186 * CHOOSE(CONTROL!$C$22, $C$13, 100%, $E$13)</f>
        <v>3.1859999999999999</v>
      </c>
      <c r="F20" s="64">
        <f>3.254 * CHOOSE(CONTROL!$C$22, $C$13, 100%, $E$13)</f>
        <v>3.254</v>
      </c>
      <c r="G20" s="64">
        <f>3.2541 * CHOOSE(CONTROL!$C$22, $C$13, 100%, $E$13)</f>
        <v>3.2541000000000002</v>
      </c>
      <c r="H20" s="64">
        <f>5.6247* CHOOSE(CONTROL!$C$22, $C$13, 100%, $E$13)</f>
        <v>5.6246999999999998</v>
      </c>
      <c r="I20" s="64">
        <f>5.6248 * CHOOSE(CONTROL!$C$22, $C$13, 100%, $E$13)</f>
        <v>5.6247999999999996</v>
      </c>
      <c r="J20" s="64">
        <f>3.186 * CHOOSE(CONTROL!$C$22, $C$13, 100%, $E$13)</f>
        <v>3.1859999999999999</v>
      </c>
      <c r="K20" s="64">
        <f>3.1861 * CHOOSE(CONTROL!$C$22, $C$13, 100%, $E$13)</f>
        <v>3.1861000000000002</v>
      </c>
      <c r="L20" s="4"/>
      <c r="M20" s="64"/>
      <c r="N20" s="64"/>
    </row>
    <row r="21" spans="1:14" ht="15">
      <c r="A21" s="13">
        <v>42125</v>
      </c>
      <c r="B21" s="63">
        <f>2.4919 * CHOOSE(CONTROL!$C$22, $C$13, 100%, $E$13)</f>
        <v>2.4918999999999998</v>
      </c>
      <c r="C21" s="63">
        <f>2.5114 * CHOOSE(CONTROL!$C$22, $C$13, 100%, $E$13)</f>
        <v>2.5114000000000001</v>
      </c>
      <c r="D21" s="63">
        <f>2.5195 * CHOOSE(CONTROL!$C$22, $C$13, 100%, $E$13)</f>
        <v>2.5194999999999999</v>
      </c>
      <c r="E21" s="64">
        <f>3.186 * CHOOSE(CONTROL!$C$22, $C$13, 100%, $E$13)</f>
        <v>3.1859999999999999</v>
      </c>
      <c r="F21" s="64">
        <f>3.254 * CHOOSE(CONTROL!$C$22, $C$13, 100%, $E$13)</f>
        <v>3.254</v>
      </c>
      <c r="G21" s="64">
        <f>3.2638 * CHOOSE(CONTROL!$C$22, $C$13, 100%, $E$13)</f>
        <v>3.2637999999999998</v>
      </c>
      <c r="H21" s="64">
        <f>5.6364* CHOOSE(CONTROL!$C$22, $C$13, 100%, $E$13)</f>
        <v>5.6364000000000001</v>
      </c>
      <c r="I21" s="64">
        <f>5.6462 * CHOOSE(CONTROL!$C$22, $C$13, 100%, $E$13)</f>
        <v>5.6462000000000003</v>
      </c>
      <c r="J21" s="64">
        <f>3.186 * CHOOSE(CONTROL!$C$22, $C$13, 100%, $E$13)</f>
        <v>3.1859999999999999</v>
      </c>
      <c r="K21" s="64">
        <f>3.1958 * CHOOSE(CONTROL!$C$22, $C$13, 100%, $E$13)</f>
        <v>3.1958000000000002</v>
      </c>
      <c r="L21" s="4"/>
      <c r="M21" s="64"/>
      <c r="N21" s="64"/>
    </row>
    <row r="22" spans="1:14" ht="15">
      <c r="A22" s="13">
        <v>42156</v>
      </c>
      <c r="B22" s="63">
        <f>2.4945 * CHOOSE(CONTROL!$C$22, $C$13, 100%, $E$13)</f>
        <v>2.4944999999999999</v>
      </c>
      <c r="C22" s="63">
        <f>2.5175 * CHOOSE(CONTROL!$C$22, $C$13, 100%, $E$13)</f>
        <v>2.5175000000000001</v>
      </c>
      <c r="D22" s="63">
        <f>2.5256 * CHOOSE(CONTROL!$C$22, $C$13, 100%, $E$13)</f>
        <v>2.5255999999999998</v>
      </c>
      <c r="E22" s="64">
        <f>3.2268 * CHOOSE(CONTROL!$C$22, $C$13, 100%, $E$13)</f>
        <v>3.2267999999999999</v>
      </c>
      <c r="F22" s="64">
        <f>3.254 * CHOOSE(CONTROL!$C$22, $C$13, 100%, $E$13)</f>
        <v>3.254</v>
      </c>
      <c r="G22" s="64">
        <f>3.2638 * CHOOSE(CONTROL!$C$22, $C$13, 100%, $E$13)</f>
        <v>3.2637999999999998</v>
      </c>
      <c r="H22" s="64">
        <f>5.6482* CHOOSE(CONTROL!$C$22, $C$13, 100%, $E$13)</f>
        <v>5.6482000000000001</v>
      </c>
      <c r="I22" s="64">
        <f>5.658 * CHOOSE(CONTROL!$C$22, $C$13, 100%, $E$13)</f>
        <v>5.6580000000000004</v>
      </c>
      <c r="J22" s="64">
        <f>3.2268 * CHOOSE(CONTROL!$C$22, $C$13, 100%, $E$13)</f>
        <v>3.2267999999999999</v>
      </c>
      <c r="K22" s="64">
        <f>3.2366 * CHOOSE(CONTROL!$C$22, $C$13, 100%, $E$13)</f>
        <v>3.2366000000000001</v>
      </c>
      <c r="L22" s="4"/>
      <c r="M22" s="64"/>
      <c r="N22" s="64"/>
    </row>
    <row r="23" spans="1:14" ht="15">
      <c r="A23" s="13">
        <v>42186</v>
      </c>
      <c r="B23" s="63">
        <f>2.5054 * CHOOSE(CONTROL!$C$22, $C$13, 100%, $E$13)</f>
        <v>2.5053999999999998</v>
      </c>
      <c r="C23" s="63">
        <f>2.5357 * CHOOSE(CONTROL!$C$22, $C$13, 100%, $E$13)</f>
        <v>2.5356999999999998</v>
      </c>
      <c r="D23" s="63">
        <f>2.5438 * CHOOSE(CONTROL!$C$22, $C$13, 100%, $E$13)</f>
        <v>2.5438000000000001</v>
      </c>
      <c r="E23" s="64">
        <f>3.2136 * CHOOSE(CONTROL!$C$22, $C$13, 100%, $E$13)</f>
        <v>3.2136</v>
      </c>
      <c r="F23" s="64">
        <f>3.254 * CHOOSE(CONTROL!$C$22, $C$13, 100%, $E$13)</f>
        <v>3.254</v>
      </c>
      <c r="G23" s="64">
        <f>3.2638 * CHOOSE(CONTROL!$C$22, $C$13, 100%, $E$13)</f>
        <v>3.2637999999999998</v>
      </c>
      <c r="H23" s="64">
        <f>5.6599* CHOOSE(CONTROL!$C$22, $C$13, 100%, $E$13)</f>
        <v>5.6599000000000004</v>
      </c>
      <c r="I23" s="64">
        <f>5.6698 * CHOOSE(CONTROL!$C$22, $C$13, 100%, $E$13)</f>
        <v>5.6698000000000004</v>
      </c>
      <c r="J23" s="64">
        <f>3.2136 * CHOOSE(CONTROL!$C$22, $C$13, 100%, $E$13)</f>
        <v>3.2136</v>
      </c>
      <c r="K23" s="64">
        <f>3.2234 * CHOOSE(CONTROL!$C$22, $C$13, 100%, $E$13)</f>
        <v>3.2233999999999998</v>
      </c>
      <c r="L23" s="4"/>
      <c r="M23" s="64"/>
      <c r="N23" s="64"/>
    </row>
    <row r="24" spans="1:14" ht="15">
      <c r="A24" s="13">
        <v>42217</v>
      </c>
      <c r="B24" s="63">
        <f>2.5144 * CHOOSE(CONTROL!$C$22, $C$13, 100%, $E$13)</f>
        <v>2.5144000000000002</v>
      </c>
      <c r="C24" s="63">
        <f>2.5502 * CHOOSE(CONTROL!$C$22, $C$13, 100%, $E$13)</f>
        <v>2.5501999999999998</v>
      </c>
      <c r="D24" s="63">
        <f>2.5583 * CHOOSE(CONTROL!$C$22, $C$13, 100%, $E$13)</f>
        <v>2.5583</v>
      </c>
      <c r="E24" s="64">
        <f>3.2338 * CHOOSE(CONTROL!$C$22, $C$13, 100%, $E$13)</f>
        <v>3.2338</v>
      </c>
      <c r="F24" s="64">
        <f>3.254 * CHOOSE(CONTROL!$C$22, $C$13, 100%, $E$13)</f>
        <v>3.254</v>
      </c>
      <c r="G24" s="64">
        <f>3.2638 * CHOOSE(CONTROL!$C$22, $C$13, 100%, $E$13)</f>
        <v>3.2637999999999998</v>
      </c>
      <c r="H24" s="64">
        <f>5.6717* CHOOSE(CONTROL!$C$22, $C$13, 100%, $E$13)</f>
        <v>5.6717000000000004</v>
      </c>
      <c r="I24" s="64">
        <f>5.6815 * CHOOSE(CONTROL!$C$22, $C$13, 100%, $E$13)</f>
        <v>5.6814999999999998</v>
      </c>
      <c r="J24" s="64">
        <f>3.2338 * CHOOSE(CONTROL!$C$22, $C$13, 100%, $E$13)</f>
        <v>3.2338</v>
      </c>
      <c r="K24" s="64">
        <f>3.2436 * CHOOSE(CONTROL!$C$22, $C$13, 100%, $E$13)</f>
        <v>3.2435999999999998</v>
      </c>
      <c r="L24" s="4"/>
      <c r="M24" s="64"/>
      <c r="N24" s="64"/>
    </row>
    <row r="25" spans="1:14" ht="15">
      <c r="A25" s="13">
        <v>42248</v>
      </c>
      <c r="B25" s="63">
        <f>2.5116 * CHOOSE(CONTROL!$C$22, $C$13, 100%, $E$13)</f>
        <v>2.5116000000000001</v>
      </c>
      <c r="C25" s="63">
        <f>2.5471 * CHOOSE(CONTROL!$C$22, $C$13, 100%, $E$13)</f>
        <v>2.5470999999999999</v>
      </c>
      <c r="D25" s="63">
        <f>2.5552 * CHOOSE(CONTROL!$C$22, $C$13, 100%, $E$13)</f>
        <v>2.5552000000000001</v>
      </c>
      <c r="E25" s="64">
        <f>3.2287 * CHOOSE(CONTROL!$C$22, $C$13, 100%, $E$13)</f>
        <v>3.2286999999999999</v>
      </c>
      <c r="F25" s="64">
        <f>3.254 * CHOOSE(CONTROL!$C$22, $C$13, 100%, $E$13)</f>
        <v>3.254</v>
      </c>
      <c r="G25" s="64">
        <f>3.2638 * CHOOSE(CONTROL!$C$22, $C$13, 100%, $E$13)</f>
        <v>3.2637999999999998</v>
      </c>
      <c r="H25" s="64">
        <f>5.6835* CHOOSE(CONTROL!$C$22, $C$13, 100%, $E$13)</f>
        <v>5.6835000000000004</v>
      </c>
      <c r="I25" s="64">
        <f>5.6934 * CHOOSE(CONTROL!$C$22, $C$13, 100%, $E$13)</f>
        <v>5.6933999999999996</v>
      </c>
      <c r="J25" s="64">
        <f>3.2287 * CHOOSE(CONTROL!$C$22, $C$13, 100%, $E$13)</f>
        <v>3.2286999999999999</v>
      </c>
      <c r="K25" s="64">
        <f>3.2386 * CHOOSE(CONTROL!$C$22, $C$13, 100%, $E$13)</f>
        <v>3.2385999999999999</v>
      </c>
      <c r="L25" s="4"/>
      <c r="M25" s="64"/>
      <c r="N25" s="64"/>
    </row>
    <row r="26" spans="1:14" ht="15">
      <c r="A26" s="13">
        <v>42278</v>
      </c>
      <c r="B26" s="63">
        <f>2.5077 * CHOOSE(CONTROL!$C$22, $C$13, 100%, $E$13)</f>
        <v>2.5076999999999998</v>
      </c>
      <c r="C26" s="63">
        <f>2.538 * CHOOSE(CONTROL!$C$22, $C$13, 100%, $E$13)</f>
        <v>2.5379999999999998</v>
      </c>
      <c r="D26" s="63">
        <f>2.538 * CHOOSE(CONTROL!$C$22, $C$13, 100%, $E$13)</f>
        <v>2.5379999999999998</v>
      </c>
      <c r="E26" s="64">
        <f>3.2365 * CHOOSE(CONTROL!$C$22, $C$13, 100%, $E$13)</f>
        <v>3.2364999999999999</v>
      </c>
      <c r="F26" s="64">
        <f>3.254 * CHOOSE(CONTROL!$C$22, $C$13, 100%, $E$13)</f>
        <v>3.254</v>
      </c>
      <c r="G26" s="64">
        <f>3.2541 * CHOOSE(CONTROL!$C$22, $C$13, 100%, $E$13)</f>
        <v>3.2541000000000002</v>
      </c>
      <c r="H26" s="64">
        <f>5.6954* CHOOSE(CONTROL!$C$22, $C$13, 100%, $E$13)</f>
        <v>5.6954000000000002</v>
      </c>
      <c r="I26" s="64">
        <f>5.6954 * CHOOSE(CONTROL!$C$22, $C$13, 100%, $E$13)</f>
        <v>5.6954000000000002</v>
      </c>
      <c r="J26" s="64">
        <f>3.2365 * CHOOSE(CONTROL!$C$22, $C$13, 100%, $E$13)</f>
        <v>3.2364999999999999</v>
      </c>
      <c r="K26" s="64">
        <f>3.2366 * CHOOSE(CONTROL!$C$22, $C$13, 100%, $E$13)</f>
        <v>3.2366000000000001</v>
      </c>
      <c r="L26" s="4"/>
      <c r="M26" s="64"/>
      <c r="N26" s="64"/>
    </row>
    <row r="27" spans="1:14" ht="15">
      <c r="A27" s="13">
        <v>42309</v>
      </c>
      <c r="B27" s="63">
        <f>2.5106 * CHOOSE(CONTROL!$C$22, $C$13, 100%, $E$13)</f>
        <v>2.5106000000000002</v>
      </c>
      <c r="C27" s="63">
        <f>2.5433 * CHOOSE(CONTROL!$C$22, $C$13, 100%, $E$13)</f>
        <v>2.5432999999999999</v>
      </c>
      <c r="D27" s="63">
        <f>2.5433 * CHOOSE(CONTROL!$C$22, $C$13, 100%, $E$13)</f>
        <v>2.5432999999999999</v>
      </c>
      <c r="E27" s="64">
        <f>3.2365 * CHOOSE(CONTROL!$C$22, $C$13, 100%, $E$13)</f>
        <v>3.2364999999999999</v>
      </c>
      <c r="F27" s="64">
        <f>3.254 * CHOOSE(CONTROL!$C$22, $C$13, 100%, $E$13)</f>
        <v>3.254</v>
      </c>
      <c r="G27" s="64">
        <f>3.2541 * CHOOSE(CONTROL!$C$22, $C$13, 100%, $E$13)</f>
        <v>3.2541000000000002</v>
      </c>
      <c r="H27" s="64">
        <f>5.7072* CHOOSE(CONTROL!$C$22, $C$13, 100%, $E$13)</f>
        <v>5.7072000000000003</v>
      </c>
      <c r="I27" s="64">
        <f>5.7073 * CHOOSE(CONTROL!$C$22, $C$13, 100%, $E$13)</f>
        <v>5.7073</v>
      </c>
      <c r="J27" s="64">
        <f>3.2365 * CHOOSE(CONTROL!$C$22, $C$13, 100%, $E$13)</f>
        <v>3.2364999999999999</v>
      </c>
      <c r="K27" s="64">
        <f>3.2366 * CHOOSE(CONTROL!$C$22, $C$13, 100%, $E$13)</f>
        <v>3.2366000000000001</v>
      </c>
      <c r="L27" s="4"/>
      <c r="M27" s="64"/>
      <c r="N27" s="64"/>
    </row>
    <row r="28" spans="1:14" ht="15">
      <c r="A28" s="13">
        <v>42339</v>
      </c>
      <c r="B28" s="63">
        <f>2.5133 * CHOOSE(CONTROL!$C$22, $C$13, 100%, $E$13)</f>
        <v>2.5133000000000001</v>
      </c>
      <c r="C28" s="63">
        <f>2.5463 * CHOOSE(CONTROL!$C$22, $C$13, 100%, $E$13)</f>
        <v>2.5463</v>
      </c>
      <c r="D28" s="63">
        <f>2.5464 * CHOOSE(CONTROL!$C$22, $C$13, 100%, $E$13)</f>
        <v>2.5464000000000002</v>
      </c>
      <c r="E28" s="64">
        <f>3.2307 * CHOOSE(CONTROL!$C$22, $C$13, 100%, $E$13)</f>
        <v>3.2307000000000001</v>
      </c>
      <c r="F28" s="64">
        <f>3.254 * CHOOSE(CONTROL!$C$22, $C$13, 100%, $E$13)</f>
        <v>3.254</v>
      </c>
      <c r="G28" s="64">
        <f>3.2541 * CHOOSE(CONTROL!$C$22, $C$13, 100%, $E$13)</f>
        <v>3.2541000000000002</v>
      </c>
      <c r="H28" s="64">
        <f>5.7191* CHOOSE(CONTROL!$C$22, $C$13, 100%, $E$13)</f>
        <v>5.7191000000000001</v>
      </c>
      <c r="I28" s="64">
        <f>5.7192 * CHOOSE(CONTROL!$C$22, $C$13, 100%, $E$13)</f>
        <v>5.7191999999999998</v>
      </c>
      <c r="J28" s="64">
        <f>3.2307 * CHOOSE(CONTROL!$C$22, $C$13, 100%, $E$13)</f>
        <v>3.2307000000000001</v>
      </c>
      <c r="K28" s="64">
        <f>3.2307 * CHOOSE(CONTROL!$C$22, $C$13, 100%, $E$13)</f>
        <v>3.2307000000000001</v>
      </c>
      <c r="L28" s="4"/>
      <c r="M28" s="64"/>
      <c r="N28" s="64"/>
    </row>
    <row r="29" spans="1:14" ht="15">
      <c r="A29" s="13">
        <v>42370</v>
      </c>
      <c r="B29" s="63">
        <f>2.8414 * CHOOSE(CONTROL!$C$22, $C$13, 100%, $E$13)</f>
        <v>2.8414000000000001</v>
      </c>
      <c r="C29" s="63">
        <f>2.8414 * CHOOSE(CONTROL!$C$22, $C$13, 100%, $E$13)</f>
        <v>2.8414000000000001</v>
      </c>
      <c r="D29" s="63">
        <f>2.8414 * CHOOSE(CONTROL!$C$22, $C$13, 100%, $E$13)</f>
        <v>2.8414000000000001</v>
      </c>
      <c r="E29" s="64">
        <f>3.358 * CHOOSE(CONTROL!$C$22, $C$13, 100%, $E$13)</f>
        <v>3.3580000000000001</v>
      </c>
      <c r="F29" s="64">
        <f>3.446 * CHOOSE(CONTROL!$C$22, $C$13, 100%, $E$13)</f>
        <v>3.4460000000000002</v>
      </c>
      <c r="G29" s="64">
        <f>3.4461 * CHOOSE(CONTROL!$C$22, $C$13, 100%, $E$13)</f>
        <v>3.4460999999999999</v>
      </c>
      <c r="H29" s="64">
        <f>5.731* CHOOSE(CONTROL!$C$22, $C$13, 100%, $E$13)</f>
        <v>5.7309999999999999</v>
      </c>
      <c r="I29" s="64">
        <f>5.7311 * CHOOSE(CONTROL!$C$22, $C$13, 100%, $E$13)</f>
        <v>5.7310999999999996</v>
      </c>
      <c r="J29" s="64">
        <f>3.358 * CHOOSE(CONTROL!$C$22, $C$13, 100%, $E$13)</f>
        <v>3.3580000000000001</v>
      </c>
      <c r="K29" s="64">
        <f>3.3581 * CHOOSE(CONTROL!$C$22, $C$13, 100%, $E$13)</f>
        <v>3.3580999999999999</v>
      </c>
      <c r="L29" s="4"/>
      <c r="M29" s="64"/>
      <c r="N29" s="64"/>
    </row>
    <row r="30" spans="1:14" ht="15">
      <c r="A30" s="13">
        <v>42401</v>
      </c>
      <c r="B30" s="63">
        <f>2.8414 * CHOOSE(CONTROL!$C$22, $C$13, 100%, $E$13)</f>
        <v>2.8414000000000001</v>
      </c>
      <c r="C30" s="63">
        <f>2.8414 * CHOOSE(CONTROL!$C$22, $C$13, 100%, $E$13)</f>
        <v>2.8414000000000001</v>
      </c>
      <c r="D30" s="63">
        <f>2.8414 * CHOOSE(CONTROL!$C$22, $C$13, 100%, $E$13)</f>
        <v>2.8414000000000001</v>
      </c>
      <c r="E30" s="64">
        <f>3.402 * CHOOSE(CONTROL!$C$22, $C$13, 100%, $E$13)</f>
        <v>3.4020000000000001</v>
      </c>
      <c r="F30" s="64">
        <f>3.446 * CHOOSE(CONTROL!$C$22, $C$13, 100%, $E$13)</f>
        <v>3.4460000000000002</v>
      </c>
      <c r="G30" s="64">
        <f>3.4461 * CHOOSE(CONTROL!$C$22, $C$13, 100%, $E$13)</f>
        <v>3.4460999999999999</v>
      </c>
      <c r="H30" s="64">
        <f>5.743* CHOOSE(CONTROL!$C$22, $C$13, 100%, $E$13)</f>
        <v>5.7430000000000003</v>
      </c>
      <c r="I30" s="64">
        <f>5.7431 * CHOOSE(CONTROL!$C$22, $C$13, 100%, $E$13)</f>
        <v>5.7431000000000001</v>
      </c>
      <c r="J30" s="64">
        <f>3.402 * CHOOSE(CONTROL!$C$22, $C$13, 100%, $E$13)</f>
        <v>3.4020000000000001</v>
      </c>
      <c r="K30" s="64">
        <f>3.4021 * CHOOSE(CONTROL!$C$22, $C$13, 100%, $E$13)</f>
        <v>3.4020999999999999</v>
      </c>
      <c r="L30" s="4"/>
      <c r="M30" s="64"/>
      <c r="N30" s="64"/>
    </row>
    <row r="31" spans="1:14" ht="15">
      <c r="A31" s="13">
        <v>42430</v>
      </c>
      <c r="B31" s="63">
        <f>2.8384 * CHOOSE(CONTROL!$C$22, $C$13, 100%, $E$13)</f>
        <v>2.8384</v>
      </c>
      <c r="C31" s="63">
        <f>2.8384 * CHOOSE(CONTROL!$C$22, $C$13, 100%, $E$13)</f>
        <v>2.8384</v>
      </c>
      <c r="D31" s="63">
        <f>2.8384 * CHOOSE(CONTROL!$C$22, $C$13, 100%, $E$13)</f>
        <v>2.8384</v>
      </c>
      <c r="E31" s="64">
        <f>3.358 * CHOOSE(CONTROL!$C$22, $C$13, 100%, $E$13)</f>
        <v>3.3580000000000001</v>
      </c>
      <c r="F31" s="64">
        <f>3.446 * CHOOSE(CONTROL!$C$22, $C$13, 100%, $E$13)</f>
        <v>3.4460000000000002</v>
      </c>
      <c r="G31" s="64">
        <f>3.4461 * CHOOSE(CONTROL!$C$22, $C$13, 100%, $E$13)</f>
        <v>3.4460999999999999</v>
      </c>
      <c r="H31" s="64">
        <f>5.7549* CHOOSE(CONTROL!$C$22, $C$13, 100%, $E$13)</f>
        <v>5.7549000000000001</v>
      </c>
      <c r="I31" s="64">
        <f>5.755 * CHOOSE(CONTROL!$C$22, $C$13, 100%, $E$13)</f>
        <v>5.7549999999999999</v>
      </c>
      <c r="J31" s="64">
        <f>3.358 * CHOOSE(CONTROL!$C$22, $C$13, 100%, $E$13)</f>
        <v>3.3580000000000001</v>
      </c>
      <c r="K31" s="64">
        <f>3.3581 * CHOOSE(CONTROL!$C$22, $C$13, 100%, $E$13)</f>
        <v>3.3580999999999999</v>
      </c>
      <c r="L31" s="4"/>
      <c r="M31" s="64"/>
      <c r="N31" s="64"/>
    </row>
    <row r="32" spans="1:14" ht="15">
      <c r="A32" s="13">
        <v>42461</v>
      </c>
      <c r="B32" s="63">
        <f>2.8276 * CHOOSE(CONTROL!$C$22, $C$13, 100%, $E$13)</f>
        <v>2.8275999999999999</v>
      </c>
      <c r="C32" s="63">
        <f>2.8276 * CHOOSE(CONTROL!$C$22, $C$13, 100%, $E$13)</f>
        <v>2.8275999999999999</v>
      </c>
      <c r="D32" s="63">
        <f>2.8276 * CHOOSE(CONTROL!$C$22, $C$13, 100%, $E$13)</f>
        <v>2.8275999999999999</v>
      </c>
      <c r="E32" s="64">
        <f>3.402 * CHOOSE(CONTROL!$C$22, $C$13, 100%, $E$13)</f>
        <v>3.4020000000000001</v>
      </c>
      <c r="F32" s="64">
        <f>3.446 * CHOOSE(CONTROL!$C$22, $C$13, 100%, $E$13)</f>
        <v>3.4460000000000002</v>
      </c>
      <c r="G32" s="64">
        <f>3.4461 * CHOOSE(CONTROL!$C$22, $C$13, 100%, $E$13)</f>
        <v>3.4460999999999999</v>
      </c>
      <c r="H32" s="64">
        <f>5.7669* CHOOSE(CONTROL!$C$22, $C$13, 100%, $E$13)</f>
        <v>5.7668999999999997</v>
      </c>
      <c r="I32" s="64">
        <f>5.767 * CHOOSE(CONTROL!$C$22, $C$13, 100%, $E$13)</f>
        <v>5.7670000000000003</v>
      </c>
      <c r="J32" s="64">
        <f>3.402 * CHOOSE(CONTROL!$C$22, $C$13, 100%, $E$13)</f>
        <v>3.4020000000000001</v>
      </c>
      <c r="K32" s="64">
        <f>3.4021 * CHOOSE(CONTROL!$C$22, $C$13, 100%, $E$13)</f>
        <v>3.4020999999999999</v>
      </c>
      <c r="L32" s="4"/>
      <c r="M32" s="64"/>
      <c r="N32" s="64"/>
    </row>
    <row r="33" spans="1:14" ht="15">
      <c r="A33" s="13">
        <v>42491</v>
      </c>
      <c r="B33" s="63">
        <f>2.8307 * CHOOSE(CONTROL!$C$22, $C$13, 100%, $E$13)</f>
        <v>2.8307000000000002</v>
      </c>
      <c r="C33" s="63">
        <f>2.8307 * CHOOSE(CONTROL!$C$22, $C$13, 100%, $E$13)</f>
        <v>2.8307000000000002</v>
      </c>
      <c r="D33" s="63">
        <f>2.8388 * CHOOSE(CONTROL!$C$22, $C$13, 100%, $E$13)</f>
        <v>2.8388</v>
      </c>
      <c r="E33" s="64">
        <f>3.358 * CHOOSE(CONTROL!$C$22, $C$13, 100%, $E$13)</f>
        <v>3.3580000000000001</v>
      </c>
      <c r="F33" s="64">
        <f>3.446 * CHOOSE(CONTROL!$C$22, $C$13, 100%, $E$13)</f>
        <v>3.4460000000000002</v>
      </c>
      <c r="G33" s="64">
        <f>3.4558 * CHOOSE(CONTROL!$C$22, $C$13, 100%, $E$13)</f>
        <v>3.4558</v>
      </c>
      <c r="H33" s="64">
        <f>5.7789* CHOOSE(CONTROL!$C$22, $C$13, 100%, $E$13)</f>
        <v>5.7789000000000001</v>
      </c>
      <c r="I33" s="64">
        <f>5.7888 * CHOOSE(CONTROL!$C$22, $C$13, 100%, $E$13)</f>
        <v>5.7888000000000002</v>
      </c>
      <c r="J33" s="64">
        <f>3.358 * CHOOSE(CONTROL!$C$22, $C$13, 100%, $E$13)</f>
        <v>3.3580000000000001</v>
      </c>
      <c r="K33" s="64">
        <f>3.3678 * CHOOSE(CONTROL!$C$22, $C$13, 100%, $E$13)</f>
        <v>3.3677999999999999</v>
      </c>
      <c r="L33" s="4"/>
      <c r="M33" s="64"/>
      <c r="N33" s="64"/>
    </row>
    <row r="34" spans="1:14" ht="15">
      <c r="A34" s="13">
        <v>42522</v>
      </c>
      <c r="B34" s="63">
        <f>2.8398 * CHOOSE(CONTROL!$C$22, $C$13, 100%, $E$13)</f>
        <v>2.8397999999999999</v>
      </c>
      <c r="C34" s="63">
        <f>2.8398 * CHOOSE(CONTROL!$C$22, $C$13, 100%, $E$13)</f>
        <v>2.8397999999999999</v>
      </c>
      <c r="D34" s="63">
        <f>2.8479 * CHOOSE(CONTROL!$C$22, $C$13, 100%, $E$13)</f>
        <v>2.8479000000000001</v>
      </c>
      <c r="E34" s="64">
        <f>3.402 * CHOOSE(CONTROL!$C$22, $C$13, 100%, $E$13)</f>
        <v>3.4020000000000001</v>
      </c>
      <c r="F34" s="64">
        <f>3.446 * CHOOSE(CONTROL!$C$22, $C$13, 100%, $E$13)</f>
        <v>3.4460000000000002</v>
      </c>
      <c r="G34" s="64">
        <f>3.4558 * CHOOSE(CONTROL!$C$22, $C$13, 100%, $E$13)</f>
        <v>3.4558</v>
      </c>
      <c r="H34" s="64">
        <f>5.791* CHOOSE(CONTROL!$C$22, $C$13, 100%, $E$13)</f>
        <v>5.7910000000000004</v>
      </c>
      <c r="I34" s="64">
        <f>5.8008 * CHOOSE(CONTROL!$C$22, $C$13, 100%, $E$13)</f>
        <v>5.8007999999999997</v>
      </c>
      <c r="J34" s="64">
        <f>3.402 * CHOOSE(CONTROL!$C$22, $C$13, 100%, $E$13)</f>
        <v>3.4020000000000001</v>
      </c>
      <c r="K34" s="64">
        <f>3.4118 * CHOOSE(CONTROL!$C$22, $C$13, 100%, $E$13)</f>
        <v>3.4117999999999999</v>
      </c>
      <c r="L34" s="4"/>
      <c r="M34" s="64"/>
      <c r="N34" s="64"/>
    </row>
    <row r="35" spans="1:14" ht="15">
      <c r="A35" s="13">
        <v>42552</v>
      </c>
      <c r="B35" s="63">
        <f>2.8772 * CHOOSE(CONTROL!$C$22, $C$13, 100%, $E$13)</f>
        <v>2.8772000000000002</v>
      </c>
      <c r="C35" s="63">
        <f>2.8772 * CHOOSE(CONTROL!$C$22, $C$13, 100%, $E$13)</f>
        <v>2.8772000000000002</v>
      </c>
      <c r="D35" s="63">
        <f>2.8853 * CHOOSE(CONTROL!$C$22, $C$13, 100%, $E$13)</f>
        <v>2.8853</v>
      </c>
      <c r="E35" s="64">
        <f>3.3756 * CHOOSE(CONTROL!$C$22, $C$13, 100%, $E$13)</f>
        <v>3.3755999999999999</v>
      </c>
      <c r="F35" s="64">
        <f>3.446 * CHOOSE(CONTROL!$C$22, $C$13, 100%, $E$13)</f>
        <v>3.4460000000000002</v>
      </c>
      <c r="G35" s="64">
        <f>3.4558 * CHOOSE(CONTROL!$C$22, $C$13, 100%, $E$13)</f>
        <v>3.4558</v>
      </c>
      <c r="H35" s="64">
        <f>5.8031* CHOOSE(CONTROL!$C$22, $C$13, 100%, $E$13)</f>
        <v>5.8030999999999997</v>
      </c>
      <c r="I35" s="64">
        <f>5.8129 * CHOOSE(CONTROL!$C$22, $C$13, 100%, $E$13)</f>
        <v>5.8129</v>
      </c>
      <c r="J35" s="64">
        <f>3.3756 * CHOOSE(CONTROL!$C$22, $C$13, 100%, $E$13)</f>
        <v>3.3755999999999999</v>
      </c>
      <c r="K35" s="64">
        <f>3.3854 * CHOOSE(CONTROL!$C$22, $C$13, 100%, $E$13)</f>
        <v>3.3854000000000002</v>
      </c>
      <c r="L35" s="4"/>
      <c r="M35" s="4"/>
      <c r="N35" s="4"/>
    </row>
    <row r="36" spans="1:14" ht="15">
      <c r="A36" s="13">
        <v>42583</v>
      </c>
      <c r="B36" s="63">
        <f>2.9046 * CHOOSE(CONTROL!$C$22, $C$13, 100%, $E$13)</f>
        <v>2.9045999999999998</v>
      </c>
      <c r="C36" s="63">
        <f>2.9046 * CHOOSE(CONTROL!$C$22, $C$13, 100%, $E$13)</f>
        <v>2.9045999999999998</v>
      </c>
      <c r="D36" s="63">
        <f>2.9127 * CHOOSE(CONTROL!$C$22, $C$13, 100%, $E$13)</f>
        <v>2.9127000000000001</v>
      </c>
      <c r="E36" s="64">
        <f>3.4108 * CHOOSE(CONTROL!$C$22, $C$13, 100%, $E$13)</f>
        <v>3.4108000000000001</v>
      </c>
      <c r="F36" s="64">
        <f>3.446 * CHOOSE(CONTROL!$C$22, $C$13, 100%, $E$13)</f>
        <v>3.4460000000000002</v>
      </c>
      <c r="G36" s="64">
        <f>3.4558 * CHOOSE(CONTROL!$C$22, $C$13, 100%, $E$13)</f>
        <v>3.4558</v>
      </c>
      <c r="H36" s="64">
        <f>5.8151* CHOOSE(CONTROL!$C$22, $C$13, 100%, $E$13)</f>
        <v>5.8151000000000002</v>
      </c>
      <c r="I36" s="64">
        <f>5.825 * CHOOSE(CONTROL!$C$22, $C$13, 100%, $E$13)</f>
        <v>5.8250000000000002</v>
      </c>
      <c r="J36" s="64">
        <f>3.4108 * CHOOSE(CONTROL!$C$22, $C$13, 100%, $E$13)</f>
        <v>3.4108000000000001</v>
      </c>
      <c r="K36" s="64">
        <f>3.4206 * CHOOSE(CONTROL!$C$22, $C$13, 100%, $E$13)</f>
        <v>3.4205999999999999</v>
      </c>
      <c r="L36" s="4"/>
      <c r="M36" s="4"/>
      <c r="N36" s="4"/>
    </row>
    <row r="37" spans="1:14" ht="15">
      <c r="A37" s="13">
        <v>42614</v>
      </c>
      <c r="B37" s="63">
        <f>2.8985 * CHOOSE(CONTROL!$C$22, $C$13, 100%, $E$13)</f>
        <v>2.8984999999999999</v>
      </c>
      <c r="C37" s="63">
        <f>2.8985 * CHOOSE(CONTROL!$C$22, $C$13, 100%, $E$13)</f>
        <v>2.8984999999999999</v>
      </c>
      <c r="D37" s="63">
        <f>2.9066 * CHOOSE(CONTROL!$C$22, $C$13, 100%, $E$13)</f>
        <v>2.9066000000000001</v>
      </c>
      <c r="E37" s="64">
        <f>3.358 * CHOOSE(CONTROL!$C$22, $C$13, 100%, $E$13)</f>
        <v>3.3580000000000001</v>
      </c>
      <c r="F37" s="64">
        <f>3.446 * CHOOSE(CONTROL!$C$22, $C$13, 100%, $E$13)</f>
        <v>3.4460000000000002</v>
      </c>
      <c r="G37" s="64">
        <f>3.4558 * CHOOSE(CONTROL!$C$22, $C$13, 100%, $E$13)</f>
        <v>3.4558</v>
      </c>
      <c r="H37" s="64">
        <f>5.8273* CHOOSE(CONTROL!$C$22, $C$13, 100%, $E$13)</f>
        <v>5.8273000000000001</v>
      </c>
      <c r="I37" s="64">
        <f>5.8371 * CHOOSE(CONTROL!$C$22, $C$13, 100%, $E$13)</f>
        <v>5.8371000000000004</v>
      </c>
      <c r="J37" s="64">
        <f>3.358 * CHOOSE(CONTROL!$C$22, $C$13, 100%, $E$13)</f>
        <v>3.3580000000000001</v>
      </c>
      <c r="K37" s="64">
        <f>3.3678 * CHOOSE(CONTROL!$C$22, $C$13, 100%, $E$13)</f>
        <v>3.3677999999999999</v>
      </c>
      <c r="L37" s="4"/>
      <c r="M37" s="4"/>
      <c r="N37" s="4"/>
    </row>
    <row r="38" spans="1:14" ht="15">
      <c r="A38" s="13">
        <v>42644</v>
      </c>
      <c r="B38" s="63">
        <f>2.9149 * CHOOSE(CONTROL!$C$22, $C$13, 100%, $E$13)</f>
        <v>2.9148999999999998</v>
      </c>
      <c r="C38" s="63">
        <f>2.9149 * CHOOSE(CONTROL!$C$22, $C$13, 100%, $E$13)</f>
        <v>2.9148999999999998</v>
      </c>
      <c r="D38" s="63">
        <f>2.9149 * CHOOSE(CONTROL!$C$22, $C$13, 100%, $E$13)</f>
        <v>2.9148999999999998</v>
      </c>
      <c r="E38" s="64">
        <f>3.3756 * CHOOSE(CONTROL!$C$22, $C$13, 100%, $E$13)</f>
        <v>3.3755999999999999</v>
      </c>
      <c r="F38" s="64">
        <f>3.446 * CHOOSE(CONTROL!$C$22, $C$13, 100%, $E$13)</f>
        <v>3.4460000000000002</v>
      </c>
      <c r="G38" s="64">
        <f>3.4461 * CHOOSE(CONTROL!$C$22, $C$13, 100%, $E$13)</f>
        <v>3.4460999999999999</v>
      </c>
      <c r="H38" s="64">
        <f>5.8394* CHOOSE(CONTROL!$C$22, $C$13, 100%, $E$13)</f>
        <v>5.8394000000000004</v>
      </c>
      <c r="I38" s="64">
        <f>5.8395 * CHOOSE(CONTROL!$C$22, $C$13, 100%, $E$13)</f>
        <v>5.8395000000000001</v>
      </c>
      <c r="J38" s="64">
        <f>3.3756 * CHOOSE(CONTROL!$C$22, $C$13, 100%, $E$13)</f>
        <v>3.3755999999999999</v>
      </c>
      <c r="K38" s="64">
        <f>3.3757 * CHOOSE(CONTROL!$C$22, $C$13, 100%, $E$13)</f>
        <v>3.3757000000000001</v>
      </c>
      <c r="L38" s="4"/>
      <c r="M38" s="4"/>
      <c r="N38" s="4"/>
    </row>
    <row r="39" spans="1:14" ht="15">
      <c r="A39" s="13">
        <v>42675</v>
      </c>
      <c r="B39" s="63">
        <f>2.918 * CHOOSE(CONTROL!$C$22, $C$13, 100%, $E$13)</f>
        <v>2.9180000000000001</v>
      </c>
      <c r="C39" s="63">
        <f>2.918 * CHOOSE(CONTROL!$C$22, $C$13, 100%, $E$13)</f>
        <v>2.9180000000000001</v>
      </c>
      <c r="D39" s="63">
        <f>2.918 * CHOOSE(CONTROL!$C$22, $C$13, 100%, $E$13)</f>
        <v>2.9180000000000001</v>
      </c>
      <c r="E39" s="64">
        <f>3.402 * CHOOSE(CONTROL!$C$22, $C$13, 100%, $E$13)</f>
        <v>3.4020000000000001</v>
      </c>
      <c r="F39" s="64">
        <f>3.446 * CHOOSE(CONTROL!$C$22, $C$13, 100%, $E$13)</f>
        <v>3.4460000000000002</v>
      </c>
      <c r="G39" s="64">
        <f>3.4461 * CHOOSE(CONTROL!$C$22, $C$13, 100%, $E$13)</f>
        <v>3.4460999999999999</v>
      </c>
      <c r="H39" s="64">
        <f>5.8516* CHOOSE(CONTROL!$C$22, $C$13, 100%, $E$13)</f>
        <v>5.8516000000000004</v>
      </c>
      <c r="I39" s="64">
        <f>5.8516 * CHOOSE(CONTROL!$C$22, $C$13, 100%, $E$13)</f>
        <v>5.8516000000000004</v>
      </c>
      <c r="J39" s="64">
        <f>3.402 * CHOOSE(CONTROL!$C$22, $C$13, 100%, $E$13)</f>
        <v>3.4020000000000001</v>
      </c>
      <c r="K39" s="64">
        <f>3.4021 * CHOOSE(CONTROL!$C$22, $C$13, 100%, $E$13)</f>
        <v>3.4020999999999999</v>
      </c>
      <c r="L39" s="4"/>
      <c r="M39" s="4"/>
      <c r="N39" s="4"/>
    </row>
    <row r="40" spans="1:14" ht="15">
      <c r="A40" s="13">
        <v>42705</v>
      </c>
      <c r="B40" s="63">
        <f>2.921 * CHOOSE(CONTROL!$C$22, $C$13, 100%, $E$13)</f>
        <v>2.9209999999999998</v>
      </c>
      <c r="C40" s="63">
        <f>2.921 * CHOOSE(CONTROL!$C$22, $C$13, 100%, $E$13)</f>
        <v>2.9209999999999998</v>
      </c>
      <c r="D40" s="63">
        <f>2.921 * CHOOSE(CONTROL!$C$22, $C$13, 100%, $E$13)</f>
        <v>2.9209999999999998</v>
      </c>
      <c r="E40" s="64">
        <f>3.446 * CHOOSE(CONTROL!$C$22, $C$13, 100%, $E$13)</f>
        <v>3.4460000000000002</v>
      </c>
      <c r="F40" s="64">
        <f>3.446 * CHOOSE(CONTROL!$C$22, $C$13, 100%, $E$13)</f>
        <v>3.4460000000000002</v>
      </c>
      <c r="G40" s="64">
        <f>3.4461 * CHOOSE(CONTROL!$C$22, $C$13, 100%, $E$13)</f>
        <v>3.4460999999999999</v>
      </c>
      <c r="H40" s="64">
        <f>5.8638* CHOOSE(CONTROL!$C$22, $C$13, 100%, $E$13)</f>
        <v>5.8638000000000003</v>
      </c>
      <c r="I40" s="64">
        <f>5.8638 * CHOOSE(CONTROL!$C$22, $C$13, 100%, $E$13)</f>
        <v>5.8638000000000003</v>
      </c>
      <c r="J40" s="64">
        <f>3.446 * CHOOSE(CONTROL!$C$22, $C$13, 100%, $E$13)</f>
        <v>3.4460000000000002</v>
      </c>
      <c r="K40" s="64">
        <f>3.4461 * CHOOSE(CONTROL!$C$22, $C$13, 100%, $E$13)</f>
        <v>3.4460999999999999</v>
      </c>
      <c r="L40" s="4"/>
      <c r="M40" s="4"/>
      <c r="N40" s="4"/>
    </row>
    <row r="41" spans="1:14" ht="15">
      <c r="A41" s="13">
        <v>42736</v>
      </c>
      <c r="B41" s="63">
        <f>2.9632 * CHOOSE(CONTROL!$C$22, $C$13, 100%, $E$13)</f>
        <v>2.9632000000000001</v>
      </c>
      <c r="C41" s="63">
        <f>2.9632 * CHOOSE(CONTROL!$C$22, $C$13, 100%, $E$13)</f>
        <v>2.9632000000000001</v>
      </c>
      <c r="D41" s="63">
        <f>2.9632 * CHOOSE(CONTROL!$C$22, $C$13, 100%, $E$13)</f>
        <v>2.9632000000000001</v>
      </c>
      <c r="E41" s="64">
        <f>3.5517 * CHOOSE(CONTROL!$C$22, $C$13, 100%, $E$13)</f>
        <v>3.5516999999999999</v>
      </c>
      <c r="F41" s="64">
        <f>3.5517 * CHOOSE(CONTROL!$C$22, $C$13, 100%, $E$13)</f>
        <v>3.5516999999999999</v>
      </c>
      <c r="G41" s="64">
        <f>3.5517 * CHOOSE(CONTROL!$C$22, $C$13, 100%, $E$13)</f>
        <v>3.5516999999999999</v>
      </c>
      <c r="H41" s="64">
        <f>5.876* CHOOSE(CONTROL!$C$22, $C$13, 100%, $E$13)</f>
        <v>5.8760000000000003</v>
      </c>
      <c r="I41" s="64">
        <f>5.876 * CHOOSE(CONTROL!$C$22, $C$13, 100%, $E$13)</f>
        <v>5.8760000000000003</v>
      </c>
      <c r="J41" s="64">
        <f>3.5517 * CHOOSE(CONTROL!$C$22, $C$13, 100%, $E$13)</f>
        <v>3.5516999999999999</v>
      </c>
      <c r="K41" s="64">
        <f>3.5517 * CHOOSE(CONTROL!$C$22, $C$13, 100%, $E$13)</f>
        <v>3.5516999999999999</v>
      </c>
      <c r="L41" s="4"/>
      <c r="M41" s="4"/>
      <c r="N41" s="4"/>
    </row>
    <row r="42" spans="1:14" ht="15">
      <c r="A42" s="13">
        <v>42767</v>
      </c>
      <c r="B42" s="63">
        <f>2.9601 * CHOOSE(CONTROL!$C$22, $C$13, 100%, $E$13)</f>
        <v>2.9601000000000002</v>
      </c>
      <c r="C42" s="63">
        <f>2.9601 * CHOOSE(CONTROL!$C$22, $C$13, 100%, $E$13)</f>
        <v>2.9601000000000002</v>
      </c>
      <c r="D42" s="63">
        <f>2.9602 * CHOOSE(CONTROL!$C$22, $C$13, 100%, $E$13)</f>
        <v>2.9601999999999999</v>
      </c>
      <c r="E42" s="64">
        <f>3.521 * CHOOSE(CONTROL!$C$22, $C$13, 100%, $E$13)</f>
        <v>3.5209999999999999</v>
      </c>
      <c r="F42" s="64">
        <f>3.521 * CHOOSE(CONTROL!$C$22, $C$13, 100%, $E$13)</f>
        <v>3.5209999999999999</v>
      </c>
      <c r="G42" s="64">
        <f>3.5211 * CHOOSE(CONTROL!$C$22, $C$13, 100%, $E$13)</f>
        <v>3.5211000000000001</v>
      </c>
      <c r="H42" s="64">
        <f>5.8882* CHOOSE(CONTROL!$C$22, $C$13, 100%, $E$13)</f>
        <v>5.8882000000000003</v>
      </c>
      <c r="I42" s="64">
        <f>5.8883 * CHOOSE(CONTROL!$C$22, $C$13, 100%, $E$13)</f>
        <v>5.8883000000000001</v>
      </c>
      <c r="J42" s="64">
        <f>3.521 * CHOOSE(CONTROL!$C$22, $C$13, 100%, $E$13)</f>
        <v>3.5209999999999999</v>
      </c>
      <c r="K42" s="64">
        <f>3.5211 * CHOOSE(CONTROL!$C$22, $C$13, 100%, $E$13)</f>
        <v>3.5211000000000001</v>
      </c>
      <c r="L42" s="4"/>
      <c r="M42" s="4"/>
      <c r="N42" s="4"/>
    </row>
    <row r="43" spans="1:14" ht="15">
      <c r="A43" s="13">
        <v>42795</v>
      </c>
      <c r="B43" s="63">
        <f>2.9571 * CHOOSE(CONTROL!$C$22, $C$13, 100%, $E$13)</f>
        <v>2.9571000000000001</v>
      </c>
      <c r="C43" s="63">
        <f>2.9571 * CHOOSE(CONTROL!$C$22, $C$13, 100%, $E$13)</f>
        <v>2.9571000000000001</v>
      </c>
      <c r="D43" s="63">
        <f>2.9571 * CHOOSE(CONTROL!$C$22, $C$13, 100%, $E$13)</f>
        <v>2.9571000000000001</v>
      </c>
      <c r="E43" s="64">
        <f>3.5414 * CHOOSE(CONTROL!$C$22, $C$13, 100%, $E$13)</f>
        <v>3.5413999999999999</v>
      </c>
      <c r="F43" s="64">
        <f>3.5414 * CHOOSE(CONTROL!$C$22, $C$13, 100%, $E$13)</f>
        <v>3.5413999999999999</v>
      </c>
      <c r="G43" s="64">
        <f>3.5415 * CHOOSE(CONTROL!$C$22, $C$13, 100%, $E$13)</f>
        <v>3.5415000000000001</v>
      </c>
      <c r="H43" s="64">
        <f>5.9005* CHOOSE(CONTROL!$C$22, $C$13, 100%, $E$13)</f>
        <v>5.9005000000000001</v>
      </c>
      <c r="I43" s="64">
        <f>5.9006 * CHOOSE(CONTROL!$C$22, $C$13, 100%, $E$13)</f>
        <v>5.9005999999999998</v>
      </c>
      <c r="J43" s="64">
        <f>3.5414 * CHOOSE(CONTROL!$C$22, $C$13, 100%, $E$13)</f>
        <v>3.5413999999999999</v>
      </c>
      <c r="K43" s="64">
        <f>3.5415 * CHOOSE(CONTROL!$C$22, $C$13, 100%, $E$13)</f>
        <v>3.5415000000000001</v>
      </c>
      <c r="L43" s="4"/>
      <c r="M43" s="4"/>
      <c r="N43" s="4"/>
    </row>
    <row r="44" spans="1:14" ht="15">
      <c r="A44" s="13">
        <v>42826</v>
      </c>
      <c r="B44" s="63">
        <f>2.9537 * CHOOSE(CONTROL!$C$22, $C$13, 100%, $E$13)</f>
        <v>2.9537</v>
      </c>
      <c r="C44" s="63">
        <f>2.9537 * CHOOSE(CONTROL!$C$22, $C$13, 100%, $E$13)</f>
        <v>2.9537</v>
      </c>
      <c r="D44" s="63">
        <f>2.9537 * CHOOSE(CONTROL!$C$22, $C$13, 100%, $E$13)</f>
        <v>2.9537</v>
      </c>
      <c r="E44" s="64">
        <f>3.5613 * CHOOSE(CONTROL!$C$22, $C$13, 100%, $E$13)</f>
        <v>3.5613000000000001</v>
      </c>
      <c r="F44" s="64">
        <f>3.5613 * CHOOSE(CONTROL!$C$22, $C$13, 100%, $E$13)</f>
        <v>3.5613000000000001</v>
      </c>
      <c r="G44" s="64">
        <f>3.5614 * CHOOSE(CONTROL!$C$22, $C$13, 100%, $E$13)</f>
        <v>3.5613999999999999</v>
      </c>
      <c r="H44" s="64">
        <f>5.9128* CHOOSE(CONTROL!$C$22, $C$13, 100%, $E$13)</f>
        <v>5.9127999999999998</v>
      </c>
      <c r="I44" s="64">
        <f>5.9129 * CHOOSE(CONTROL!$C$22, $C$13, 100%, $E$13)</f>
        <v>5.9128999999999996</v>
      </c>
      <c r="J44" s="64">
        <f>3.5613 * CHOOSE(CONTROL!$C$22, $C$13, 100%, $E$13)</f>
        <v>3.5613000000000001</v>
      </c>
      <c r="K44" s="64">
        <f>3.5614 * CHOOSE(CONTROL!$C$22, $C$13, 100%, $E$13)</f>
        <v>3.5613999999999999</v>
      </c>
      <c r="L44" s="4"/>
      <c r="M44" s="4"/>
      <c r="N44" s="4"/>
    </row>
    <row r="45" spans="1:14" ht="15">
      <c r="A45" s="13">
        <v>42856</v>
      </c>
      <c r="B45" s="63">
        <f>2.9537 * CHOOSE(CONTROL!$C$22, $C$13, 100%, $E$13)</f>
        <v>2.9537</v>
      </c>
      <c r="C45" s="63">
        <f>2.9537 * CHOOSE(CONTROL!$C$22, $C$13, 100%, $E$13)</f>
        <v>2.9537</v>
      </c>
      <c r="D45" s="63">
        <f>2.9618 * CHOOSE(CONTROL!$C$22, $C$13, 100%, $E$13)</f>
        <v>2.9618000000000002</v>
      </c>
      <c r="E45" s="64">
        <f>3.5704 * CHOOSE(CONTROL!$C$22, $C$13, 100%, $E$13)</f>
        <v>3.5703999999999998</v>
      </c>
      <c r="F45" s="64">
        <f>3.5704 * CHOOSE(CONTROL!$C$22, $C$13, 100%, $E$13)</f>
        <v>3.5703999999999998</v>
      </c>
      <c r="G45" s="64">
        <f>3.5802 * CHOOSE(CONTROL!$C$22, $C$13, 100%, $E$13)</f>
        <v>3.5802</v>
      </c>
      <c r="H45" s="64">
        <f>5.9251* CHOOSE(CONTROL!$C$22, $C$13, 100%, $E$13)</f>
        <v>5.9250999999999996</v>
      </c>
      <c r="I45" s="64">
        <f>5.9349 * CHOOSE(CONTROL!$C$22, $C$13, 100%, $E$13)</f>
        <v>5.9348999999999998</v>
      </c>
      <c r="J45" s="64">
        <f>3.5704 * CHOOSE(CONTROL!$C$22, $C$13, 100%, $E$13)</f>
        <v>3.5703999999999998</v>
      </c>
      <c r="K45" s="64">
        <f>3.5802 * CHOOSE(CONTROL!$C$22, $C$13, 100%, $E$13)</f>
        <v>3.5802</v>
      </c>
      <c r="L45" s="4"/>
      <c r="M45" s="4"/>
      <c r="N45" s="4"/>
    </row>
    <row r="46" spans="1:14" ht="15">
      <c r="A46" s="13">
        <v>42887</v>
      </c>
      <c r="B46" s="63">
        <f>2.9598 * CHOOSE(CONTROL!$C$22, $C$13, 100%, $E$13)</f>
        <v>2.9598</v>
      </c>
      <c r="C46" s="63">
        <f>2.9598 * CHOOSE(CONTROL!$C$22, $C$13, 100%, $E$13)</f>
        <v>2.9598</v>
      </c>
      <c r="D46" s="63">
        <f>2.9679 * CHOOSE(CONTROL!$C$22, $C$13, 100%, $E$13)</f>
        <v>2.9679000000000002</v>
      </c>
      <c r="E46" s="64">
        <f>3.5655 * CHOOSE(CONTROL!$C$22, $C$13, 100%, $E$13)</f>
        <v>3.5655000000000001</v>
      </c>
      <c r="F46" s="64">
        <f>3.5655 * CHOOSE(CONTROL!$C$22, $C$13, 100%, $E$13)</f>
        <v>3.5655000000000001</v>
      </c>
      <c r="G46" s="64">
        <f>3.5754 * CHOOSE(CONTROL!$C$22, $C$13, 100%, $E$13)</f>
        <v>3.5754000000000001</v>
      </c>
      <c r="H46" s="64">
        <f>5.9374* CHOOSE(CONTROL!$C$22, $C$13, 100%, $E$13)</f>
        <v>5.9374000000000002</v>
      </c>
      <c r="I46" s="64">
        <f>5.9473 * CHOOSE(CONTROL!$C$22, $C$13, 100%, $E$13)</f>
        <v>5.9473000000000003</v>
      </c>
      <c r="J46" s="64">
        <f>3.5655 * CHOOSE(CONTROL!$C$22, $C$13, 100%, $E$13)</f>
        <v>3.5655000000000001</v>
      </c>
      <c r="K46" s="64">
        <f>3.5754 * CHOOSE(CONTROL!$C$22, $C$13, 100%, $E$13)</f>
        <v>3.5754000000000001</v>
      </c>
      <c r="L46" s="4"/>
      <c r="M46" s="4"/>
      <c r="N46" s="4"/>
    </row>
    <row r="47" spans="1:14" ht="15">
      <c r="A47" s="13">
        <v>42917</v>
      </c>
      <c r="B47" s="63">
        <f>3.0475 * CHOOSE(CONTROL!$C$22, $C$13, 100%, $E$13)</f>
        <v>3.0474999999999999</v>
      </c>
      <c r="C47" s="63">
        <f>3.0475 * CHOOSE(CONTROL!$C$22, $C$13, 100%, $E$13)</f>
        <v>3.0474999999999999</v>
      </c>
      <c r="D47" s="63">
        <f>3.0556 * CHOOSE(CONTROL!$C$22, $C$13, 100%, $E$13)</f>
        <v>3.0556000000000001</v>
      </c>
      <c r="E47" s="64">
        <f>3.6468 * CHOOSE(CONTROL!$C$22, $C$13, 100%, $E$13)</f>
        <v>3.6467999999999998</v>
      </c>
      <c r="F47" s="64">
        <f>3.6468 * CHOOSE(CONTROL!$C$22, $C$13, 100%, $E$13)</f>
        <v>3.6467999999999998</v>
      </c>
      <c r="G47" s="64">
        <f>3.6566 * CHOOSE(CONTROL!$C$22, $C$13, 100%, $E$13)</f>
        <v>3.6566000000000001</v>
      </c>
      <c r="H47" s="64">
        <f>5.9498* CHOOSE(CONTROL!$C$22, $C$13, 100%, $E$13)</f>
        <v>5.9497999999999998</v>
      </c>
      <c r="I47" s="64">
        <f>5.9596 * CHOOSE(CONTROL!$C$22, $C$13, 100%, $E$13)</f>
        <v>5.9596</v>
      </c>
      <c r="J47" s="64">
        <f>3.6468 * CHOOSE(CONTROL!$C$22, $C$13, 100%, $E$13)</f>
        <v>3.6467999999999998</v>
      </c>
      <c r="K47" s="64">
        <f>3.6566 * CHOOSE(CONTROL!$C$22, $C$13, 100%, $E$13)</f>
        <v>3.6566000000000001</v>
      </c>
      <c r="L47" s="4"/>
      <c r="M47" s="4"/>
      <c r="N47" s="4"/>
    </row>
    <row r="48" spans="1:14" ht="15">
      <c r="A48" s="13">
        <v>42948</v>
      </c>
      <c r="B48" s="63">
        <f>3.0542 * CHOOSE(CONTROL!$C$22, $C$13, 100%, $E$13)</f>
        <v>3.0541999999999998</v>
      </c>
      <c r="C48" s="63">
        <f>3.0542 * CHOOSE(CONTROL!$C$22, $C$13, 100%, $E$13)</f>
        <v>3.0541999999999998</v>
      </c>
      <c r="D48" s="63">
        <f>3.0623 * CHOOSE(CONTROL!$C$22, $C$13, 100%, $E$13)</f>
        <v>3.0623</v>
      </c>
      <c r="E48" s="64">
        <f>3.6242 * CHOOSE(CONTROL!$C$22, $C$13, 100%, $E$13)</f>
        <v>3.6242000000000001</v>
      </c>
      <c r="F48" s="64">
        <f>3.6242 * CHOOSE(CONTROL!$C$22, $C$13, 100%, $E$13)</f>
        <v>3.6242000000000001</v>
      </c>
      <c r="G48" s="64">
        <f>3.6341 * CHOOSE(CONTROL!$C$22, $C$13, 100%, $E$13)</f>
        <v>3.6341000000000001</v>
      </c>
      <c r="H48" s="64">
        <f>5.9622* CHOOSE(CONTROL!$C$22, $C$13, 100%, $E$13)</f>
        <v>5.9622000000000002</v>
      </c>
      <c r="I48" s="64">
        <f>5.972 * CHOOSE(CONTROL!$C$22, $C$13, 100%, $E$13)</f>
        <v>5.9720000000000004</v>
      </c>
      <c r="J48" s="64">
        <f>3.6242 * CHOOSE(CONTROL!$C$22, $C$13, 100%, $E$13)</f>
        <v>3.6242000000000001</v>
      </c>
      <c r="K48" s="64">
        <f>3.6341 * CHOOSE(CONTROL!$C$22, $C$13, 100%, $E$13)</f>
        <v>3.6341000000000001</v>
      </c>
      <c r="L48" s="4"/>
      <c r="M48" s="4"/>
      <c r="N48" s="4"/>
    </row>
    <row r="49" spans="1:14" ht="15">
      <c r="A49" s="13">
        <v>42979</v>
      </c>
      <c r="B49" s="63">
        <f>3.0512 * CHOOSE(CONTROL!$C$22, $C$13, 100%, $E$13)</f>
        <v>3.0512000000000001</v>
      </c>
      <c r="C49" s="63">
        <f>3.0512 * CHOOSE(CONTROL!$C$22, $C$13, 100%, $E$13)</f>
        <v>3.0512000000000001</v>
      </c>
      <c r="D49" s="63">
        <f>3.0593 * CHOOSE(CONTROL!$C$22, $C$13, 100%, $E$13)</f>
        <v>3.0592999999999999</v>
      </c>
      <c r="E49" s="64">
        <f>3.6191 * CHOOSE(CONTROL!$C$22, $C$13, 100%, $E$13)</f>
        <v>3.6191</v>
      </c>
      <c r="F49" s="64">
        <f>3.6191 * CHOOSE(CONTROL!$C$22, $C$13, 100%, $E$13)</f>
        <v>3.6191</v>
      </c>
      <c r="G49" s="64">
        <f>3.6289 * CHOOSE(CONTROL!$C$22, $C$13, 100%, $E$13)</f>
        <v>3.6288999999999998</v>
      </c>
      <c r="H49" s="64">
        <f>5.9746* CHOOSE(CONTROL!$C$22, $C$13, 100%, $E$13)</f>
        <v>5.9745999999999997</v>
      </c>
      <c r="I49" s="64">
        <f>5.9844 * CHOOSE(CONTROL!$C$22, $C$13, 100%, $E$13)</f>
        <v>5.9843999999999999</v>
      </c>
      <c r="J49" s="64">
        <f>3.6191 * CHOOSE(CONTROL!$C$22, $C$13, 100%, $E$13)</f>
        <v>3.6191</v>
      </c>
      <c r="K49" s="64">
        <f>3.6289 * CHOOSE(CONTROL!$C$22, $C$13, 100%, $E$13)</f>
        <v>3.6288999999999998</v>
      </c>
      <c r="L49" s="4"/>
      <c r="M49" s="4"/>
      <c r="N49" s="4"/>
    </row>
    <row r="50" spans="1:14" ht="15">
      <c r="A50" s="13">
        <v>43009</v>
      </c>
      <c r="B50" s="63">
        <f>3.0423 * CHOOSE(CONTROL!$C$22, $C$13, 100%, $E$13)</f>
        <v>3.0423</v>
      </c>
      <c r="C50" s="63">
        <f>3.0423 * CHOOSE(CONTROL!$C$22, $C$13, 100%, $E$13)</f>
        <v>3.0423</v>
      </c>
      <c r="D50" s="63">
        <f>3.0423 * CHOOSE(CONTROL!$C$22, $C$13, 100%, $E$13)</f>
        <v>3.0423</v>
      </c>
      <c r="E50" s="64">
        <f>3.6178 * CHOOSE(CONTROL!$C$22, $C$13, 100%, $E$13)</f>
        <v>3.6177999999999999</v>
      </c>
      <c r="F50" s="64">
        <f>3.6178 * CHOOSE(CONTROL!$C$22, $C$13, 100%, $E$13)</f>
        <v>3.6177999999999999</v>
      </c>
      <c r="G50" s="64">
        <f>3.6178 * CHOOSE(CONTROL!$C$22, $C$13, 100%, $E$13)</f>
        <v>3.6177999999999999</v>
      </c>
      <c r="H50" s="64">
        <f>5.9871* CHOOSE(CONTROL!$C$22, $C$13, 100%, $E$13)</f>
        <v>5.9870999999999999</v>
      </c>
      <c r="I50" s="64">
        <f>5.9871 * CHOOSE(CONTROL!$C$22, $C$13, 100%, $E$13)</f>
        <v>5.9870999999999999</v>
      </c>
      <c r="J50" s="64">
        <f>3.6178 * CHOOSE(CONTROL!$C$22, $C$13, 100%, $E$13)</f>
        <v>3.6177999999999999</v>
      </c>
      <c r="K50" s="64">
        <f>3.6178 * CHOOSE(CONTROL!$C$22, $C$13, 100%, $E$13)</f>
        <v>3.6177999999999999</v>
      </c>
      <c r="L50" s="4"/>
      <c r="M50" s="4"/>
      <c r="N50" s="4"/>
    </row>
    <row r="51" spans="1:14" ht="15">
      <c r="A51" s="13">
        <v>43040</v>
      </c>
      <c r="B51" s="63">
        <f>3.0454 * CHOOSE(CONTROL!$C$22, $C$13, 100%, $E$13)</f>
        <v>3.0453999999999999</v>
      </c>
      <c r="C51" s="63">
        <f>3.0454 * CHOOSE(CONTROL!$C$22, $C$13, 100%, $E$13)</f>
        <v>3.0453999999999999</v>
      </c>
      <c r="D51" s="63">
        <f>3.0454 * CHOOSE(CONTROL!$C$22, $C$13, 100%, $E$13)</f>
        <v>3.0453999999999999</v>
      </c>
      <c r="E51" s="64">
        <f>3.6259 * CHOOSE(CONTROL!$C$22, $C$13, 100%, $E$13)</f>
        <v>3.6259000000000001</v>
      </c>
      <c r="F51" s="64">
        <f>3.6259 * CHOOSE(CONTROL!$C$22, $C$13, 100%, $E$13)</f>
        <v>3.6259000000000001</v>
      </c>
      <c r="G51" s="64">
        <f>3.626 * CHOOSE(CONTROL!$C$22, $C$13, 100%, $E$13)</f>
        <v>3.6259999999999999</v>
      </c>
      <c r="H51" s="64">
        <f>5.9995* CHOOSE(CONTROL!$C$22, $C$13, 100%, $E$13)</f>
        <v>5.9995000000000003</v>
      </c>
      <c r="I51" s="64">
        <f>5.9996 * CHOOSE(CONTROL!$C$22, $C$13, 100%, $E$13)</f>
        <v>5.9996</v>
      </c>
      <c r="J51" s="64">
        <f>3.6259 * CHOOSE(CONTROL!$C$22, $C$13, 100%, $E$13)</f>
        <v>3.6259000000000001</v>
      </c>
      <c r="K51" s="64">
        <f>3.626 * CHOOSE(CONTROL!$C$22, $C$13, 100%, $E$13)</f>
        <v>3.6259999999999999</v>
      </c>
      <c r="L51" s="4"/>
      <c r="M51" s="4"/>
      <c r="N51" s="4"/>
    </row>
    <row r="52" spans="1:14" ht="15">
      <c r="A52" s="13">
        <v>43070</v>
      </c>
      <c r="B52" s="63">
        <f>3.0454 * CHOOSE(CONTROL!$C$22, $C$13, 100%, $E$13)</f>
        <v>3.0453999999999999</v>
      </c>
      <c r="C52" s="63">
        <f>3.0454 * CHOOSE(CONTROL!$C$22, $C$13, 100%, $E$13)</f>
        <v>3.0453999999999999</v>
      </c>
      <c r="D52" s="63">
        <f>3.0454 * CHOOSE(CONTROL!$C$22, $C$13, 100%, $E$13)</f>
        <v>3.0453999999999999</v>
      </c>
      <c r="E52" s="64">
        <f>3.6108 * CHOOSE(CONTROL!$C$22, $C$13, 100%, $E$13)</f>
        <v>3.6107999999999998</v>
      </c>
      <c r="F52" s="64">
        <f>3.6108 * CHOOSE(CONTROL!$C$22, $C$13, 100%, $E$13)</f>
        <v>3.6107999999999998</v>
      </c>
      <c r="G52" s="64">
        <f>3.6109 * CHOOSE(CONTROL!$C$22, $C$13, 100%, $E$13)</f>
        <v>3.6109</v>
      </c>
      <c r="H52" s="64">
        <f>6.012* CHOOSE(CONTROL!$C$22, $C$13, 100%, $E$13)</f>
        <v>6.0119999999999996</v>
      </c>
      <c r="I52" s="64">
        <f>6.0121 * CHOOSE(CONTROL!$C$22, $C$13, 100%, $E$13)</f>
        <v>6.0121000000000002</v>
      </c>
      <c r="J52" s="64">
        <f>3.6108 * CHOOSE(CONTROL!$C$22, $C$13, 100%, $E$13)</f>
        <v>3.6107999999999998</v>
      </c>
      <c r="K52" s="64">
        <f>3.6109 * CHOOSE(CONTROL!$C$22, $C$13, 100%, $E$13)</f>
        <v>3.6109</v>
      </c>
      <c r="L52" s="4"/>
      <c r="M52" s="4"/>
      <c r="N52" s="4"/>
    </row>
    <row r="53" spans="1:14" ht="15">
      <c r="A53" s="13">
        <v>43101</v>
      </c>
      <c r="B53" s="63">
        <f>3.0799 * CHOOSE(CONTROL!$C$22, $C$13, 100%, $E$13)</f>
        <v>3.0798999999999999</v>
      </c>
      <c r="C53" s="63">
        <f>3.0799 * CHOOSE(CONTROL!$C$22, $C$13, 100%, $E$13)</f>
        <v>3.0798999999999999</v>
      </c>
      <c r="D53" s="63">
        <f>3.0799 * CHOOSE(CONTROL!$C$22, $C$13, 100%, $E$13)</f>
        <v>3.0798999999999999</v>
      </c>
      <c r="E53" s="64">
        <f>3.7211 * CHOOSE(CONTROL!$C$22, $C$13, 100%, $E$13)</f>
        <v>3.7210999999999999</v>
      </c>
      <c r="F53" s="64">
        <f>3.7211 * CHOOSE(CONTROL!$C$22, $C$13, 100%, $E$13)</f>
        <v>3.7210999999999999</v>
      </c>
      <c r="G53" s="64">
        <f>3.7212 * CHOOSE(CONTROL!$C$22, $C$13, 100%, $E$13)</f>
        <v>3.7212000000000001</v>
      </c>
      <c r="H53" s="64">
        <f>6.0246* CHOOSE(CONTROL!$C$22, $C$13, 100%, $E$13)</f>
        <v>6.0246000000000004</v>
      </c>
      <c r="I53" s="64">
        <f>6.0246 * CHOOSE(CONTROL!$C$22, $C$13, 100%, $E$13)</f>
        <v>6.0246000000000004</v>
      </c>
      <c r="J53" s="64">
        <f>3.7211 * CHOOSE(CONTROL!$C$22, $C$13, 100%, $E$13)</f>
        <v>3.7210999999999999</v>
      </c>
      <c r="K53" s="64">
        <f>3.7212 * CHOOSE(CONTROL!$C$22, $C$13, 100%, $E$13)</f>
        <v>3.7212000000000001</v>
      </c>
      <c r="L53" s="4"/>
      <c r="M53" s="4"/>
      <c r="N53" s="4"/>
    </row>
    <row r="54" spans="1:14" ht="15">
      <c r="A54" s="13">
        <v>43132</v>
      </c>
      <c r="B54" s="63">
        <f>3.0769 * CHOOSE(CONTROL!$C$22, $C$13, 100%, $E$13)</f>
        <v>3.0769000000000002</v>
      </c>
      <c r="C54" s="63">
        <f>3.0769 * CHOOSE(CONTROL!$C$22, $C$13, 100%, $E$13)</f>
        <v>3.0769000000000002</v>
      </c>
      <c r="D54" s="63">
        <f>3.0769 * CHOOSE(CONTROL!$C$22, $C$13, 100%, $E$13)</f>
        <v>3.0769000000000002</v>
      </c>
      <c r="E54" s="64">
        <f>3.6823 * CHOOSE(CONTROL!$C$22, $C$13, 100%, $E$13)</f>
        <v>3.6823000000000001</v>
      </c>
      <c r="F54" s="64">
        <f>3.6823 * CHOOSE(CONTROL!$C$22, $C$13, 100%, $E$13)</f>
        <v>3.6823000000000001</v>
      </c>
      <c r="G54" s="64">
        <f>3.6823 * CHOOSE(CONTROL!$C$22, $C$13, 100%, $E$13)</f>
        <v>3.6823000000000001</v>
      </c>
      <c r="H54" s="64">
        <f>6.0371* CHOOSE(CONTROL!$C$22, $C$13, 100%, $E$13)</f>
        <v>6.0370999999999997</v>
      </c>
      <c r="I54" s="64">
        <f>6.0372 * CHOOSE(CONTROL!$C$22, $C$13, 100%, $E$13)</f>
        <v>6.0372000000000003</v>
      </c>
      <c r="J54" s="64">
        <f>3.6823 * CHOOSE(CONTROL!$C$22, $C$13, 100%, $E$13)</f>
        <v>3.6823000000000001</v>
      </c>
      <c r="K54" s="64">
        <f>3.6823 * CHOOSE(CONTROL!$C$22, $C$13, 100%, $E$13)</f>
        <v>3.6823000000000001</v>
      </c>
      <c r="L54" s="4"/>
      <c r="M54" s="4"/>
      <c r="N54" s="4"/>
    </row>
    <row r="55" spans="1:14" ht="15">
      <c r="A55" s="13">
        <v>43160</v>
      </c>
      <c r="B55" s="63">
        <f>3.0739 * CHOOSE(CONTROL!$C$22, $C$13, 100%, $E$13)</f>
        <v>3.0739000000000001</v>
      </c>
      <c r="C55" s="63">
        <f>3.0739 * CHOOSE(CONTROL!$C$22, $C$13, 100%, $E$13)</f>
        <v>3.0739000000000001</v>
      </c>
      <c r="D55" s="63">
        <f>3.0739 * CHOOSE(CONTROL!$C$22, $C$13, 100%, $E$13)</f>
        <v>3.0739000000000001</v>
      </c>
      <c r="E55" s="64">
        <f>3.7091 * CHOOSE(CONTROL!$C$22, $C$13, 100%, $E$13)</f>
        <v>3.7090999999999998</v>
      </c>
      <c r="F55" s="64">
        <f>3.7091 * CHOOSE(CONTROL!$C$22, $C$13, 100%, $E$13)</f>
        <v>3.7090999999999998</v>
      </c>
      <c r="G55" s="64">
        <f>3.7092 * CHOOSE(CONTROL!$C$22, $C$13, 100%, $E$13)</f>
        <v>3.7092000000000001</v>
      </c>
      <c r="H55" s="64">
        <f>6.0497* CHOOSE(CONTROL!$C$22, $C$13, 100%, $E$13)</f>
        <v>6.0496999999999996</v>
      </c>
      <c r="I55" s="64">
        <f>6.0498 * CHOOSE(CONTROL!$C$22, $C$13, 100%, $E$13)</f>
        <v>6.0498000000000003</v>
      </c>
      <c r="J55" s="64">
        <f>3.7091 * CHOOSE(CONTROL!$C$22, $C$13, 100%, $E$13)</f>
        <v>3.7090999999999998</v>
      </c>
      <c r="K55" s="64">
        <f>3.7092 * CHOOSE(CONTROL!$C$22, $C$13, 100%, $E$13)</f>
        <v>3.7092000000000001</v>
      </c>
      <c r="L55" s="4"/>
      <c r="M55" s="4"/>
      <c r="N55" s="4"/>
    </row>
    <row r="56" spans="1:14" ht="15">
      <c r="A56" s="13">
        <v>43191</v>
      </c>
      <c r="B56" s="63">
        <f>3.0705 * CHOOSE(CONTROL!$C$22, $C$13, 100%, $E$13)</f>
        <v>3.0705</v>
      </c>
      <c r="C56" s="63">
        <f>3.0705 * CHOOSE(CONTROL!$C$22, $C$13, 100%, $E$13)</f>
        <v>3.0705</v>
      </c>
      <c r="D56" s="63">
        <f>3.0705 * CHOOSE(CONTROL!$C$22, $C$13, 100%, $E$13)</f>
        <v>3.0705</v>
      </c>
      <c r="E56" s="64">
        <f>3.7359 * CHOOSE(CONTROL!$C$22, $C$13, 100%, $E$13)</f>
        <v>3.7359</v>
      </c>
      <c r="F56" s="64">
        <f>3.7359 * CHOOSE(CONTROL!$C$22, $C$13, 100%, $E$13)</f>
        <v>3.7359</v>
      </c>
      <c r="G56" s="64">
        <f>3.736 * CHOOSE(CONTROL!$C$22, $C$13, 100%, $E$13)</f>
        <v>3.7360000000000002</v>
      </c>
      <c r="H56" s="64">
        <f>6.0623* CHOOSE(CONTROL!$C$22, $C$13, 100%, $E$13)</f>
        <v>6.0622999999999996</v>
      </c>
      <c r="I56" s="64">
        <f>6.0624 * CHOOSE(CONTROL!$C$22, $C$13, 100%, $E$13)</f>
        <v>6.0624000000000002</v>
      </c>
      <c r="J56" s="64">
        <f>3.7359 * CHOOSE(CONTROL!$C$22, $C$13, 100%, $E$13)</f>
        <v>3.7359</v>
      </c>
      <c r="K56" s="64">
        <f>3.736 * CHOOSE(CONTROL!$C$22, $C$13, 100%, $E$13)</f>
        <v>3.7360000000000002</v>
      </c>
      <c r="L56" s="4"/>
      <c r="M56" s="4"/>
      <c r="N56" s="4"/>
    </row>
    <row r="57" spans="1:14" ht="15">
      <c r="A57" s="13">
        <v>43221</v>
      </c>
      <c r="B57" s="63">
        <f>3.0705 * CHOOSE(CONTROL!$C$22, $C$13, 100%, $E$13)</f>
        <v>3.0705</v>
      </c>
      <c r="C57" s="63">
        <f>3.0705 * CHOOSE(CONTROL!$C$22, $C$13, 100%, $E$13)</f>
        <v>3.0705</v>
      </c>
      <c r="D57" s="63">
        <f>3.0786 * CHOOSE(CONTROL!$C$22, $C$13, 100%, $E$13)</f>
        <v>3.0785999999999998</v>
      </c>
      <c r="E57" s="64">
        <f>3.7476 * CHOOSE(CONTROL!$C$22, $C$13, 100%, $E$13)</f>
        <v>3.7475999999999998</v>
      </c>
      <c r="F57" s="64">
        <f>3.7476 * CHOOSE(CONTROL!$C$22, $C$13, 100%, $E$13)</f>
        <v>3.7475999999999998</v>
      </c>
      <c r="G57" s="64">
        <f>3.7574 * CHOOSE(CONTROL!$C$22, $C$13, 100%, $E$13)</f>
        <v>3.7574000000000001</v>
      </c>
      <c r="H57" s="64">
        <f>6.0749* CHOOSE(CONTROL!$C$22, $C$13, 100%, $E$13)</f>
        <v>6.0749000000000004</v>
      </c>
      <c r="I57" s="64">
        <f>6.0848 * CHOOSE(CONTROL!$C$22, $C$13, 100%, $E$13)</f>
        <v>6.0848000000000004</v>
      </c>
      <c r="J57" s="64">
        <f>3.7476 * CHOOSE(CONTROL!$C$22, $C$13, 100%, $E$13)</f>
        <v>3.7475999999999998</v>
      </c>
      <c r="K57" s="64">
        <f>3.7574 * CHOOSE(CONTROL!$C$22, $C$13, 100%, $E$13)</f>
        <v>3.7574000000000001</v>
      </c>
      <c r="L57" s="4"/>
      <c r="M57" s="4"/>
      <c r="N57" s="4"/>
    </row>
    <row r="58" spans="1:14" ht="15">
      <c r="A58" s="13">
        <v>43252</v>
      </c>
      <c r="B58" s="63">
        <f>3.0766 * CHOOSE(CONTROL!$C$22, $C$13, 100%, $E$13)</f>
        <v>3.0766</v>
      </c>
      <c r="C58" s="63">
        <f>3.0766 * CHOOSE(CONTROL!$C$22, $C$13, 100%, $E$13)</f>
        <v>3.0766</v>
      </c>
      <c r="D58" s="63">
        <f>3.0847 * CHOOSE(CONTROL!$C$22, $C$13, 100%, $E$13)</f>
        <v>3.0847000000000002</v>
      </c>
      <c r="E58" s="64">
        <f>3.7402 * CHOOSE(CONTROL!$C$22, $C$13, 100%, $E$13)</f>
        <v>3.7402000000000002</v>
      </c>
      <c r="F58" s="64">
        <f>3.7402 * CHOOSE(CONTROL!$C$22, $C$13, 100%, $E$13)</f>
        <v>3.7402000000000002</v>
      </c>
      <c r="G58" s="64">
        <f>3.75 * CHOOSE(CONTROL!$C$22, $C$13, 100%, $E$13)</f>
        <v>3.75</v>
      </c>
      <c r="H58" s="64">
        <f>6.0876* CHOOSE(CONTROL!$C$22, $C$13, 100%, $E$13)</f>
        <v>6.0876000000000001</v>
      </c>
      <c r="I58" s="64">
        <f>6.0974 * CHOOSE(CONTROL!$C$22, $C$13, 100%, $E$13)</f>
        <v>6.0974000000000004</v>
      </c>
      <c r="J58" s="64">
        <f>3.7402 * CHOOSE(CONTROL!$C$22, $C$13, 100%, $E$13)</f>
        <v>3.7402000000000002</v>
      </c>
      <c r="K58" s="64">
        <f>3.75 * CHOOSE(CONTROL!$C$22, $C$13, 100%, $E$13)</f>
        <v>3.75</v>
      </c>
      <c r="L58" s="4"/>
      <c r="M58" s="4"/>
      <c r="N58" s="4"/>
    </row>
    <row r="59" spans="1:14" ht="15">
      <c r="A59" s="13">
        <v>43282</v>
      </c>
      <c r="B59" s="63">
        <f>3.1468 * CHOOSE(CONTROL!$C$22, $C$13, 100%, $E$13)</f>
        <v>3.1467999999999998</v>
      </c>
      <c r="C59" s="63">
        <f>3.1468 * CHOOSE(CONTROL!$C$22, $C$13, 100%, $E$13)</f>
        <v>3.1467999999999998</v>
      </c>
      <c r="D59" s="63">
        <f>3.1549 * CHOOSE(CONTROL!$C$22, $C$13, 100%, $E$13)</f>
        <v>3.1549</v>
      </c>
      <c r="E59" s="64">
        <f>3.7912 * CHOOSE(CONTROL!$C$22, $C$13, 100%, $E$13)</f>
        <v>3.7911999999999999</v>
      </c>
      <c r="F59" s="64">
        <f>3.7912 * CHOOSE(CONTROL!$C$22, $C$13, 100%, $E$13)</f>
        <v>3.7911999999999999</v>
      </c>
      <c r="G59" s="64">
        <f>3.8011 * CHOOSE(CONTROL!$C$22, $C$13, 100%, $E$13)</f>
        <v>3.8010999999999999</v>
      </c>
      <c r="H59" s="64">
        <f>6.1003* CHOOSE(CONTROL!$C$22, $C$13, 100%, $E$13)</f>
        <v>6.1002999999999998</v>
      </c>
      <c r="I59" s="64">
        <f>6.1101 * CHOOSE(CONTROL!$C$22, $C$13, 100%, $E$13)</f>
        <v>6.1101000000000001</v>
      </c>
      <c r="J59" s="64">
        <f>3.7912 * CHOOSE(CONTROL!$C$22, $C$13, 100%, $E$13)</f>
        <v>3.7911999999999999</v>
      </c>
      <c r="K59" s="64">
        <f>3.8011 * CHOOSE(CONTROL!$C$22, $C$13, 100%, $E$13)</f>
        <v>3.8010999999999999</v>
      </c>
      <c r="L59" s="4"/>
      <c r="M59" s="4"/>
      <c r="N59" s="4"/>
    </row>
    <row r="60" spans="1:14" ht="15">
      <c r="A60" s="13">
        <v>43313</v>
      </c>
      <c r="B60" s="63">
        <f>3.1535 * CHOOSE(CONTROL!$C$22, $C$13, 100%, $E$13)</f>
        <v>3.1535000000000002</v>
      </c>
      <c r="C60" s="63">
        <f>3.1535 * CHOOSE(CONTROL!$C$22, $C$13, 100%, $E$13)</f>
        <v>3.1535000000000002</v>
      </c>
      <c r="D60" s="63">
        <f>3.1616 * CHOOSE(CONTROL!$C$22, $C$13, 100%, $E$13)</f>
        <v>3.1616</v>
      </c>
      <c r="E60" s="64">
        <f>3.7609 * CHOOSE(CONTROL!$C$22, $C$13, 100%, $E$13)</f>
        <v>3.7608999999999999</v>
      </c>
      <c r="F60" s="64">
        <f>3.7609 * CHOOSE(CONTROL!$C$22, $C$13, 100%, $E$13)</f>
        <v>3.7608999999999999</v>
      </c>
      <c r="G60" s="64">
        <f>3.7708 * CHOOSE(CONTROL!$C$22, $C$13, 100%, $E$13)</f>
        <v>3.7707999999999999</v>
      </c>
      <c r="H60" s="64">
        <f>6.113* CHOOSE(CONTROL!$C$22, $C$13, 100%, $E$13)</f>
        <v>6.1130000000000004</v>
      </c>
      <c r="I60" s="64">
        <f>6.1228 * CHOOSE(CONTROL!$C$22, $C$13, 100%, $E$13)</f>
        <v>6.1227999999999998</v>
      </c>
      <c r="J60" s="64">
        <f>3.7609 * CHOOSE(CONTROL!$C$22, $C$13, 100%, $E$13)</f>
        <v>3.7608999999999999</v>
      </c>
      <c r="K60" s="64">
        <f>3.7708 * CHOOSE(CONTROL!$C$22, $C$13, 100%, $E$13)</f>
        <v>3.7707999999999999</v>
      </c>
      <c r="L60" s="4"/>
      <c r="M60" s="4"/>
      <c r="N60" s="4"/>
    </row>
    <row r="61" spans="1:14" ht="15">
      <c r="A61" s="13">
        <v>43344</v>
      </c>
      <c r="B61" s="63">
        <f>3.1505 * CHOOSE(CONTROL!$C$22, $C$13, 100%, $E$13)</f>
        <v>3.1505000000000001</v>
      </c>
      <c r="C61" s="63">
        <f>3.1505 * CHOOSE(CONTROL!$C$22, $C$13, 100%, $E$13)</f>
        <v>3.1505000000000001</v>
      </c>
      <c r="D61" s="63">
        <f>3.1586 * CHOOSE(CONTROL!$C$22, $C$13, 100%, $E$13)</f>
        <v>3.1585999999999999</v>
      </c>
      <c r="E61" s="64">
        <f>3.7549 * CHOOSE(CONTROL!$C$22, $C$13, 100%, $E$13)</f>
        <v>3.7549000000000001</v>
      </c>
      <c r="F61" s="64">
        <f>3.7549 * CHOOSE(CONTROL!$C$22, $C$13, 100%, $E$13)</f>
        <v>3.7549000000000001</v>
      </c>
      <c r="G61" s="64">
        <f>3.7648 * CHOOSE(CONTROL!$C$22, $C$13, 100%, $E$13)</f>
        <v>3.7648000000000001</v>
      </c>
      <c r="H61" s="64">
        <f>6.1257* CHOOSE(CONTROL!$C$22, $C$13, 100%, $E$13)</f>
        <v>6.1257000000000001</v>
      </c>
      <c r="I61" s="64">
        <f>6.1355 * CHOOSE(CONTROL!$C$22, $C$13, 100%, $E$13)</f>
        <v>6.1355000000000004</v>
      </c>
      <c r="J61" s="64">
        <f>3.7549 * CHOOSE(CONTROL!$C$22, $C$13, 100%, $E$13)</f>
        <v>3.7549000000000001</v>
      </c>
      <c r="K61" s="64">
        <f>3.7648 * CHOOSE(CONTROL!$C$22, $C$13, 100%, $E$13)</f>
        <v>3.7648000000000001</v>
      </c>
      <c r="L61" s="4"/>
      <c r="M61" s="4"/>
      <c r="N61" s="4"/>
    </row>
    <row r="62" spans="1:14" ht="15">
      <c r="A62" s="13">
        <v>43374</v>
      </c>
      <c r="B62" s="63">
        <f>3.1419 * CHOOSE(CONTROL!$C$22, $C$13, 100%, $E$13)</f>
        <v>3.1419000000000001</v>
      </c>
      <c r="C62" s="63">
        <f>3.1419 * CHOOSE(CONTROL!$C$22, $C$13, 100%, $E$13)</f>
        <v>3.1419000000000001</v>
      </c>
      <c r="D62" s="63">
        <f>3.1419 * CHOOSE(CONTROL!$C$22, $C$13, 100%, $E$13)</f>
        <v>3.1419000000000001</v>
      </c>
      <c r="E62" s="64">
        <f>3.7571 * CHOOSE(CONTROL!$C$22, $C$13, 100%, $E$13)</f>
        <v>3.7570999999999999</v>
      </c>
      <c r="F62" s="64">
        <f>3.7571 * CHOOSE(CONTROL!$C$22, $C$13, 100%, $E$13)</f>
        <v>3.7570999999999999</v>
      </c>
      <c r="G62" s="64">
        <f>3.7571 * CHOOSE(CONTROL!$C$22, $C$13, 100%, $E$13)</f>
        <v>3.7570999999999999</v>
      </c>
      <c r="H62" s="64">
        <f>6.1385* CHOOSE(CONTROL!$C$22, $C$13, 100%, $E$13)</f>
        <v>6.1384999999999996</v>
      </c>
      <c r="I62" s="64">
        <f>6.1385 * CHOOSE(CONTROL!$C$22, $C$13, 100%, $E$13)</f>
        <v>6.1384999999999996</v>
      </c>
      <c r="J62" s="64">
        <f>3.7571 * CHOOSE(CONTROL!$C$22, $C$13, 100%, $E$13)</f>
        <v>3.7570999999999999</v>
      </c>
      <c r="K62" s="64">
        <f>3.7571 * CHOOSE(CONTROL!$C$22, $C$13, 100%, $E$13)</f>
        <v>3.7570999999999999</v>
      </c>
      <c r="L62" s="4"/>
      <c r="M62" s="4"/>
      <c r="N62" s="4"/>
    </row>
    <row r="63" spans="1:14" ht="15">
      <c r="A63" s="13">
        <v>43405</v>
      </c>
      <c r="B63" s="63">
        <f>3.1449 * CHOOSE(CONTROL!$C$22, $C$13, 100%, $E$13)</f>
        <v>3.1448999999999998</v>
      </c>
      <c r="C63" s="63">
        <f>3.1449 * CHOOSE(CONTROL!$C$22, $C$13, 100%, $E$13)</f>
        <v>3.1448999999999998</v>
      </c>
      <c r="D63" s="63">
        <f>3.1449 * CHOOSE(CONTROL!$C$22, $C$13, 100%, $E$13)</f>
        <v>3.1448999999999998</v>
      </c>
      <c r="E63" s="64">
        <f>3.767 * CHOOSE(CONTROL!$C$22, $C$13, 100%, $E$13)</f>
        <v>3.7669999999999999</v>
      </c>
      <c r="F63" s="64">
        <f>3.767 * CHOOSE(CONTROL!$C$22, $C$13, 100%, $E$13)</f>
        <v>3.7669999999999999</v>
      </c>
      <c r="G63" s="64">
        <f>3.767 * CHOOSE(CONTROL!$C$22, $C$13, 100%, $E$13)</f>
        <v>3.7669999999999999</v>
      </c>
      <c r="H63" s="64">
        <f>6.1513* CHOOSE(CONTROL!$C$22, $C$13, 100%, $E$13)</f>
        <v>6.1513</v>
      </c>
      <c r="I63" s="64">
        <f>6.1513 * CHOOSE(CONTROL!$C$22, $C$13, 100%, $E$13)</f>
        <v>6.1513</v>
      </c>
      <c r="J63" s="64">
        <f>3.767 * CHOOSE(CONTROL!$C$22, $C$13, 100%, $E$13)</f>
        <v>3.7669999999999999</v>
      </c>
      <c r="K63" s="64">
        <f>3.767 * CHOOSE(CONTROL!$C$22, $C$13, 100%, $E$13)</f>
        <v>3.7669999999999999</v>
      </c>
      <c r="L63" s="4"/>
      <c r="M63" s="4"/>
      <c r="N63" s="4"/>
    </row>
    <row r="64" spans="1:14" ht="15">
      <c r="A64" s="13">
        <v>43435</v>
      </c>
      <c r="B64" s="63">
        <f>3.1449 * CHOOSE(CONTROL!$C$22, $C$13, 100%, $E$13)</f>
        <v>3.1448999999999998</v>
      </c>
      <c r="C64" s="63">
        <f>3.1449 * CHOOSE(CONTROL!$C$22, $C$13, 100%, $E$13)</f>
        <v>3.1448999999999998</v>
      </c>
      <c r="D64" s="63">
        <f>3.1449 * CHOOSE(CONTROL!$C$22, $C$13, 100%, $E$13)</f>
        <v>3.1448999999999998</v>
      </c>
      <c r="E64" s="64">
        <f>3.7475 * CHOOSE(CONTROL!$C$22, $C$13, 100%, $E$13)</f>
        <v>3.7475000000000001</v>
      </c>
      <c r="F64" s="64">
        <f>3.7475 * CHOOSE(CONTROL!$C$22, $C$13, 100%, $E$13)</f>
        <v>3.7475000000000001</v>
      </c>
      <c r="G64" s="64">
        <f>3.7476 * CHOOSE(CONTROL!$C$22, $C$13, 100%, $E$13)</f>
        <v>3.7475999999999998</v>
      </c>
      <c r="H64" s="64">
        <f>6.1641* CHOOSE(CONTROL!$C$22, $C$13, 100%, $E$13)</f>
        <v>6.1641000000000004</v>
      </c>
      <c r="I64" s="64">
        <f>6.1642 * CHOOSE(CONTROL!$C$22, $C$13, 100%, $E$13)</f>
        <v>6.1642000000000001</v>
      </c>
      <c r="J64" s="64">
        <f>3.7475 * CHOOSE(CONTROL!$C$22, $C$13, 100%, $E$13)</f>
        <v>3.7475000000000001</v>
      </c>
      <c r="K64" s="64">
        <f>3.7476 * CHOOSE(CONTROL!$C$22, $C$13, 100%, $E$13)</f>
        <v>3.7475999999999998</v>
      </c>
      <c r="L64" s="4"/>
      <c r="M64" s="4"/>
      <c r="N64" s="4"/>
    </row>
    <row r="65" spans="1:14" ht="15">
      <c r="A65" s="13">
        <v>43466</v>
      </c>
      <c r="B65" s="63">
        <f>3.1467 * CHOOSE(CONTROL!$C$22, $C$13, 100%, $E$13)</f>
        <v>3.1467000000000001</v>
      </c>
      <c r="C65" s="63">
        <f>3.1467 * CHOOSE(CONTROL!$C$22, $C$13, 100%, $E$13)</f>
        <v>3.1467000000000001</v>
      </c>
      <c r="D65" s="63">
        <f>3.1467 * CHOOSE(CONTROL!$C$22, $C$13, 100%, $E$13)</f>
        <v>3.1467000000000001</v>
      </c>
      <c r="E65" s="64">
        <f>3.844 * CHOOSE(CONTROL!$C$22, $C$13, 100%, $E$13)</f>
        <v>3.8439999999999999</v>
      </c>
      <c r="F65" s="64">
        <f>3.844 * CHOOSE(CONTROL!$C$22, $C$13, 100%, $E$13)</f>
        <v>3.8439999999999999</v>
      </c>
      <c r="G65" s="64">
        <f>3.8441 * CHOOSE(CONTROL!$C$22, $C$13, 100%, $E$13)</f>
        <v>3.8441000000000001</v>
      </c>
      <c r="H65" s="64">
        <f>6.1769* CHOOSE(CONTROL!$C$22, $C$13, 100%, $E$13)</f>
        <v>6.1768999999999998</v>
      </c>
      <c r="I65" s="64">
        <f>6.177 * CHOOSE(CONTROL!$C$22, $C$13, 100%, $E$13)</f>
        <v>6.1769999999999996</v>
      </c>
      <c r="J65" s="64">
        <f>3.844 * CHOOSE(CONTROL!$C$22, $C$13, 100%, $E$13)</f>
        <v>3.8439999999999999</v>
      </c>
      <c r="K65" s="64">
        <f>3.8441 * CHOOSE(CONTROL!$C$22, $C$13, 100%, $E$13)</f>
        <v>3.8441000000000001</v>
      </c>
      <c r="L65" s="4"/>
      <c r="M65" s="4"/>
      <c r="N65" s="4"/>
    </row>
    <row r="66" spans="1:14" ht="15">
      <c r="A66" s="13">
        <v>43497</v>
      </c>
      <c r="B66" s="63">
        <f>3.1437 * CHOOSE(CONTROL!$C$22, $C$13, 100%, $E$13)</f>
        <v>3.1436999999999999</v>
      </c>
      <c r="C66" s="63">
        <f>3.1437 * CHOOSE(CONTROL!$C$22, $C$13, 100%, $E$13)</f>
        <v>3.1436999999999999</v>
      </c>
      <c r="D66" s="63">
        <f>3.1437 * CHOOSE(CONTROL!$C$22, $C$13, 100%, $E$13)</f>
        <v>3.1436999999999999</v>
      </c>
      <c r="E66" s="64">
        <f>3.7978 * CHOOSE(CONTROL!$C$22, $C$13, 100%, $E$13)</f>
        <v>3.7978000000000001</v>
      </c>
      <c r="F66" s="64">
        <f>3.7978 * CHOOSE(CONTROL!$C$22, $C$13, 100%, $E$13)</f>
        <v>3.7978000000000001</v>
      </c>
      <c r="G66" s="64">
        <f>3.7979 * CHOOSE(CONTROL!$C$22, $C$13, 100%, $E$13)</f>
        <v>3.7978999999999998</v>
      </c>
      <c r="H66" s="64">
        <f>6.1898* CHOOSE(CONTROL!$C$22, $C$13, 100%, $E$13)</f>
        <v>6.1898</v>
      </c>
      <c r="I66" s="64">
        <f>6.1899 * CHOOSE(CONTROL!$C$22, $C$13, 100%, $E$13)</f>
        <v>6.1898999999999997</v>
      </c>
      <c r="J66" s="64">
        <f>3.7978 * CHOOSE(CONTROL!$C$22, $C$13, 100%, $E$13)</f>
        <v>3.7978000000000001</v>
      </c>
      <c r="K66" s="64">
        <f>3.7979 * CHOOSE(CONTROL!$C$22, $C$13, 100%, $E$13)</f>
        <v>3.7978999999999998</v>
      </c>
      <c r="L66" s="4"/>
      <c r="M66" s="4"/>
      <c r="N66" s="4"/>
    </row>
    <row r="67" spans="1:14" ht="15">
      <c r="A67" s="13">
        <v>43525</v>
      </c>
      <c r="B67" s="63">
        <f>3.1407 * CHOOSE(CONTROL!$C$22, $C$13, 100%, $E$13)</f>
        <v>3.1406999999999998</v>
      </c>
      <c r="C67" s="63">
        <f>3.1407 * CHOOSE(CONTROL!$C$22, $C$13, 100%, $E$13)</f>
        <v>3.1406999999999998</v>
      </c>
      <c r="D67" s="63">
        <f>3.1407 * CHOOSE(CONTROL!$C$22, $C$13, 100%, $E$13)</f>
        <v>3.1406999999999998</v>
      </c>
      <c r="E67" s="64">
        <f>3.8304 * CHOOSE(CONTROL!$C$22, $C$13, 100%, $E$13)</f>
        <v>3.8304</v>
      </c>
      <c r="F67" s="64">
        <f>3.8304 * CHOOSE(CONTROL!$C$22, $C$13, 100%, $E$13)</f>
        <v>3.8304</v>
      </c>
      <c r="G67" s="64">
        <f>3.8305 * CHOOSE(CONTROL!$C$22, $C$13, 100%, $E$13)</f>
        <v>3.8304999999999998</v>
      </c>
      <c r="H67" s="64">
        <f>6.2027* CHOOSE(CONTROL!$C$22, $C$13, 100%, $E$13)</f>
        <v>6.2027000000000001</v>
      </c>
      <c r="I67" s="64">
        <f>6.2028 * CHOOSE(CONTROL!$C$22, $C$13, 100%, $E$13)</f>
        <v>6.2027999999999999</v>
      </c>
      <c r="J67" s="64">
        <f>3.8304 * CHOOSE(CONTROL!$C$22, $C$13, 100%, $E$13)</f>
        <v>3.8304</v>
      </c>
      <c r="K67" s="64">
        <f>3.8305 * CHOOSE(CONTROL!$C$22, $C$13, 100%, $E$13)</f>
        <v>3.8304999999999998</v>
      </c>
      <c r="L67" s="4"/>
      <c r="M67" s="4"/>
      <c r="N67" s="4"/>
    </row>
    <row r="68" spans="1:14" ht="15">
      <c r="A68" s="13">
        <v>43556</v>
      </c>
      <c r="B68" s="63">
        <f>3.1374 * CHOOSE(CONTROL!$C$22, $C$13, 100%, $E$13)</f>
        <v>3.1374</v>
      </c>
      <c r="C68" s="63">
        <f>3.1374 * CHOOSE(CONTROL!$C$22, $C$13, 100%, $E$13)</f>
        <v>3.1374</v>
      </c>
      <c r="D68" s="63">
        <f>3.1374 * CHOOSE(CONTROL!$C$22, $C$13, 100%, $E$13)</f>
        <v>3.1374</v>
      </c>
      <c r="E68" s="64">
        <f>3.8635 * CHOOSE(CONTROL!$C$22, $C$13, 100%, $E$13)</f>
        <v>3.8635000000000002</v>
      </c>
      <c r="F68" s="64">
        <f>3.8635 * CHOOSE(CONTROL!$C$22, $C$13, 100%, $E$13)</f>
        <v>3.8635000000000002</v>
      </c>
      <c r="G68" s="64">
        <f>3.8636 * CHOOSE(CONTROL!$C$22, $C$13, 100%, $E$13)</f>
        <v>3.8635999999999999</v>
      </c>
      <c r="H68" s="64">
        <f>6.2156* CHOOSE(CONTROL!$C$22, $C$13, 100%, $E$13)</f>
        <v>6.2156000000000002</v>
      </c>
      <c r="I68" s="64">
        <f>6.2157 * CHOOSE(CONTROL!$C$22, $C$13, 100%, $E$13)</f>
        <v>6.2157</v>
      </c>
      <c r="J68" s="64">
        <f>3.8635 * CHOOSE(CONTROL!$C$22, $C$13, 100%, $E$13)</f>
        <v>3.8635000000000002</v>
      </c>
      <c r="K68" s="64">
        <f>3.8636 * CHOOSE(CONTROL!$C$22, $C$13, 100%, $E$13)</f>
        <v>3.8635999999999999</v>
      </c>
      <c r="L68" s="4"/>
      <c r="M68" s="4"/>
      <c r="N68" s="4"/>
    </row>
    <row r="69" spans="1:14" ht="15">
      <c r="A69" s="13">
        <v>43586</v>
      </c>
      <c r="B69" s="63">
        <f>3.1374 * CHOOSE(CONTROL!$C$22, $C$13, 100%, $E$13)</f>
        <v>3.1374</v>
      </c>
      <c r="C69" s="63">
        <f>3.1374 * CHOOSE(CONTROL!$C$22, $C$13, 100%, $E$13)</f>
        <v>3.1374</v>
      </c>
      <c r="D69" s="63">
        <f>3.1455 * CHOOSE(CONTROL!$C$22, $C$13, 100%, $E$13)</f>
        <v>3.1455000000000002</v>
      </c>
      <c r="E69" s="64">
        <f>3.8775 * CHOOSE(CONTROL!$C$22, $C$13, 100%, $E$13)</f>
        <v>3.8774999999999999</v>
      </c>
      <c r="F69" s="64">
        <f>3.8775 * CHOOSE(CONTROL!$C$22, $C$13, 100%, $E$13)</f>
        <v>3.8774999999999999</v>
      </c>
      <c r="G69" s="64">
        <f>3.8874 * CHOOSE(CONTROL!$C$22, $C$13, 100%, $E$13)</f>
        <v>3.8874</v>
      </c>
      <c r="H69" s="64">
        <f>6.2286* CHOOSE(CONTROL!$C$22, $C$13, 100%, $E$13)</f>
        <v>6.2286000000000001</v>
      </c>
      <c r="I69" s="64">
        <f>6.2384 * CHOOSE(CONTROL!$C$22, $C$13, 100%, $E$13)</f>
        <v>6.2384000000000004</v>
      </c>
      <c r="J69" s="64">
        <f>3.8775 * CHOOSE(CONTROL!$C$22, $C$13, 100%, $E$13)</f>
        <v>3.8774999999999999</v>
      </c>
      <c r="K69" s="64">
        <f>3.8874 * CHOOSE(CONTROL!$C$22, $C$13, 100%, $E$13)</f>
        <v>3.8874</v>
      </c>
      <c r="L69" s="4"/>
      <c r="M69" s="4"/>
      <c r="N69" s="4"/>
    </row>
    <row r="70" spans="1:14" ht="15">
      <c r="A70" s="13">
        <v>43617</v>
      </c>
      <c r="B70" s="63">
        <f>3.1435 * CHOOSE(CONTROL!$C$22, $C$13, 100%, $E$13)</f>
        <v>3.1435</v>
      </c>
      <c r="C70" s="63">
        <f>3.1435 * CHOOSE(CONTROL!$C$22, $C$13, 100%, $E$13)</f>
        <v>3.1435</v>
      </c>
      <c r="D70" s="63">
        <f>3.1516 * CHOOSE(CONTROL!$C$22, $C$13, 100%, $E$13)</f>
        <v>3.1516000000000002</v>
      </c>
      <c r="E70" s="64">
        <f>3.8678 * CHOOSE(CONTROL!$C$22, $C$13, 100%, $E$13)</f>
        <v>3.8677999999999999</v>
      </c>
      <c r="F70" s="64">
        <f>3.8678 * CHOOSE(CONTROL!$C$22, $C$13, 100%, $E$13)</f>
        <v>3.8677999999999999</v>
      </c>
      <c r="G70" s="64">
        <f>3.8776 * CHOOSE(CONTROL!$C$22, $C$13, 100%, $E$13)</f>
        <v>3.8776000000000002</v>
      </c>
      <c r="H70" s="64">
        <f>6.2415* CHOOSE(CONTROL!$C$22, $C$13, 100%, $E$13)</f>
        <v>6.2415000000000003</v>
      </c>
      <c r="I70" s="64">
        <f>6.2514 * CHOOSE(CONTROL!$C$22, $C$13, 100%, $E$13)</f>
        <v>6.2514000000000003</v>
      </c>
      <c r="J70" s="64">
        <f>3.8678 * CHOOSE(CONTROL!$C$22, $C$13, 100%, $E$13)</f>
        <v>3.8677999999999999</v>
      </c>
      <c r="K70" s="64">
        <f>3.8776 * CHOOSE(CONTROL!$C$22, $C$13, 100%, $E$13)</f>
        <v>3.8776000000000002</v>
      </c>
      <c r="L70" s="4"/>
      <c r="M70" s="4"/>
      <c r="N70" s="4"/>
    </row>
    <row r="71" spans="1:14" ht="15">
      <c r="A71" s="13">
        <v>43647</v>
      </c>
      <c r="B71" s="63">
        <f>3.1331 * CHOOSE(CONTROL!$C$22, $C$13, 100%, $E$13)</f>
        <v>3.1331000000000002</v>
      </c>
      <c r="C71" s="63">
        <f>3.1331 * CHOOSE(CONTROL!$C$22, $C$13, 100%, $E$13)</f>
        <v>3.1331000000000002</v>
      </c>
      <c r="D71" s="63">
        <f>3.1412 * CHOOSE(CONTROL!$C$22, $C$13, 100%, $E$13)</f>
        <v>3.1412</v>
      </c>
      <c r="E71" s="64">
        <f>3.901 * CHOOSE(CONTROL!$C$22, $C$13, 100%, $E$13)</f>
        <v>3.9009999999999998</v>
      </c>
      <c r="F71" s="64">
        <f>3.901 * CHOOSE(CONTROL!$C$22, $C$13, 100%, $E$13)</f>
        <v>3.9009999999999998</v>
      </c>
      <c r="G71" s="64">
        <f>3.9109 * CHOOSE(CONTROL!$C$22, $C$13, 100%, $E$13)</f>
        <v>3.9108999999999998</v>
      </c>
      <c r="H71" s="64">
        <f>6.2545* CHOOSE(CONTROL!$C$22, $C$13, 100%, $E$13)</f>
        <v>6.2545000000000002</v>
      </c>
      <c r="I71" s="64">
        <f>6.2644 * CHOOSE(CONTROL!$C$22, $C$13, 100%, $E$13)</f>
        <v>6.2644000000000002</v>
      </c>
      <c r="J71" s="64">
        <f>3.901 * CHOOSE(CONTROL!$C$22, $C$13, 100%, $E$13)</f>
        <v>3.9009999999999998</v>
      </c>
      <c r="K71" s="64">
        <f>3.9109 * CHOOSE(CONTROL!$C$22, $C$13, 100%, $E$13)</f>
        <v>3.9108999999999998</v>
      </c>
      <c r="L71" s="4"/>
      <c r="M71" s="4"/>
      <c r="N71" s="4"/>
    </row>
    <row r="72" spans="1:14" ht="15">
      <c r="A72" s="13">
        <v>43678</v>
      </c>
      <c r="B72" s="63">
        <f>3.1398 * CHOOSE(CONTROL!$C$22, $C$13, 100%, $E$13)</f>
        <v>3.1398000000000001</v>
      </c>
      <c r="C72" s="63">
        <f>3.1398 * CHOOSE(CONTROL!$C$22, $C$13, 100%, $E$13)</f>
        <v>3.1398000000000001</v>
      </c>
      <c r="D72" s="63">
        <f>3.1479 * CHOOSE(CONTROL!$C$22, $C$13, 100%, $E$13)</f>
        <v>3.1478999999999999</v>
      </c>
      <c r="E72" s="64">
        <f>3.8637 * CHOOSE(CONTROL!$C$22, $C$13, 100%, $E$13)</f>
        <v>3.8637000000000001</v>
      </c>
      <c r="F72" s="64">
        <f>3.8637 * CHOOSE(CONTROL!$C$22, $C$13, 100%, $E$13)</f>
        <v>3.8637000000000001</v>
      </c>
      <c r="G72" s="64">
        <f>3.8735 * CHOOSE(CONTROL!$C$22, $C$13, 100%, $E$13)</f>
        <v>3.8734999999999999</v>
      </c>
      <c r="H72" s="64">
        <f>6.2676* CHOOSE(CONTROL!$C$22, $C$13, 100%, $E$13)</f>
        <v>6.2675999999999998</v>
      </c>
      <c r="I72" s="64">
        <f>6.2774 * CHOOSE(CONTROL!$C$22, $C$13, 100%, $E$13)</f>
        <v>6.2774000000000001</v>
      </c>
      <c r="J72" s="64">
        <f>3.8637 * CHOOSE(CONTROL!$C$22, $C$13, 100%, $E$13)</f>
        <v>3.8637000000000001</v>
      </c>
      <c r="K72" s="64">
        <f>3.8735 * CHOOSE(CONTROL!$C$22, $C$13, 100%, $E$13)</f>
        <v>3.8734999999999999</v>
      </c>
      <c r="L72" s="4"/>
      <c r="M72" s="4"/>
      <c r="N72" s="4"/>
    </row>
    <row r="73" spans="1:14" ht="15">
      <c r="A73" s="13">
        <v>43709</v>
      </c>
      <c r="B73" s="63">
        <f>3.1367 * CHOOSE(CONTROL!$C$22, $C$13, 100%, $E$13)</f>
        <v>3.1366999999999998</v>
      </c>
      <c r="C73" s="63">
        <f>3.1367 * CHOOSE(CONTROL!$C$22, $C$13, 100%, $E$13)</f>
        <v>3.1366999999999998</v>
      </c>
      <c r="D73" s="63">
        <f>3.1448 * CHOOSE(CONTROL!$C$22, $C$13, 100%, $E$13)</f>
        <v>3.1448</v>
      </c>
      <c r="E73" s="64">
        <f>3.8569 * CHOOSE(CONTROL!$C$22, $C$13, 100%, $E$13)</f>
        <v>3.8569</v>
      </c>
      <c r="F73" s="64">
        <f>3.8569 * CHOOSE(CONTROL!$C$22, $C$13, 100%, $E$13)</f>
        <v>3.8569</v>
      </c>
      <c r="G73" s="64">
        <f>3.8667 * CHOOSE(CONTROL!$C$22, $C$13, 100%, $E$13)</f>
        <v>3.8666999999999998</v>
      </c>
      <c r="H73" s="64">
        <f>6.2806* CHOOSE(CONTROL!$C$22, $C$13, 100%, $E$13)</f>
        <v>6.2805999999999997</v>
      </c>
      <c r="I73" s="64">
        <f>6.2904 * CHOOSE(CONTROL!$C$22, $C$13, 100%, $E$13)</f>
        <v>6.2904</v>
      </c>
      <c r="J73" s="64">
        <f>3.8569 * CHOOSE(CONTROL!$C$22, $C$13, 100%, $E$13)</f>
        <v>3.8569</v>
      </c>
      <c r="K73" s="64">
        <f>3.8667 * CHOOSE(CONTROL!$C$22, $C$13, 100%, $E$13)</f>
        <v>3.8666999999999998</v>
      </c>
      <c r="L73" s="4"/>
      <c r="M73" s="4"/>
      <c r="N73" s="4"/>
    </row>
    <row r="74" spans="1:14" ht="15">
      <c r="A74" s="13">
        <v>43739</v>
      </c>
      <c r="B74" s="63">
        <f>3.1284 * CHOOSE(CONTROL!$C$22, $C$13, 100%, $E$13)</f>
        <v>3.1284000000000001</v>
      </c>
      <c r="C74" s="63">
        <f>3.1284 * CHOOSE(CONTROL!$C$22, $C$13, 100%, $E$13)</f>
        <v>3.1284000000000001</v>
      </c>
      <c r="D74" s="63">
        <f>3.1284 * CHOOSE(CONTROL!$C$22, $C$13, 100%, $E$13)</f>
        <v>3.1284000000000001</v>
      </c>
      <c r="E74" s="64">
        <f>3.8621 * CHOOSE(CONTROL!$C$22, $C$13, 100%, $E$13)</f>
        <v>3.8620999999999999</v>
      </c>
      <c r="F74" s="64">
        <f>3.8621 * CHOOSE(CONTROL!$C$22, $C$13, 100%, $E$13)</f>
        <v>3.8620999999999999</v>
      </c>
      <c r="G74" s="64">
        <f>3.8622 * CHOOSE(CONTROL!$C$22, $C$13, 100%, $E$13)</f>
        <v>3.8622000000000001</v>
      </c>
      <c r="H74" s="64">
        <f>6.2937* CHOOSE(CONTROL!$C$22, $C$13, 100%, $E$13)</f>
        <v>6.2937000000000003</v>
      </c>
      <c r="I74" s="64">
        <f>6.2938 * CHOOSE(CONTROL!$C$22, $C$13, 100%, $E$13)</f>
        <v>6.2938000000000001</v>
      </c>
      <c r="J74" s="64">
        <f>3.8621 * CHOOSE(CONTROL!$C$22, $C$13, 100%, $E$13)</f>
        <v>3.8620999999999999</v>
      </c>
      <c r="K74" s="64">
        <f>3.8622 * CHOOSE(CONTROL!$C$22, $C$13, 100%, $E$13)</f>
        <v>3.8622000000000001</v>
      </c>
      <c r="L74" s="4"/>
      <c r="M74" s="4"/>
      <c r="N74" s="4"/>
    </row>
    <row r="75" spans="1:14" ht="15">
      <c r="A75" s="13">
        <v>43770</v>
      </c>
      <c r="B75" s="63">
        <f>3.1314 * CHOOSE(CONTROL!$C$22, $C$13, 100%, $E$13)</f>
        <v>3.1314000000000002</v>
      </c>
      <c r="C75" s="63">
        <f>3.1314 * CHOOSE(CONTROL!$C$22, $C$13, 100%, $E$13)</f>
        <v>3.1314000000000002</v>
      </c>
      <c r="D75" s="63">
        <f>3.1314 * CHOOSE(CONTROL!$C$22, $C$13, 100%, $E$13)</f>
        <v>3.1314000000000002</v>
      </c>
      <c r="E75" s="64">
        <f>3.8736 * CHOOSE(CONTROL!$C$22, $C$13, 100%, $E$13)</f>
        <v>3.8736000000000002</v>
      </c>
      <c r="F75" s="64">
        <f>3.8736 * CHOOSE(CONTROL!$C$22, $C$13, 100%, $E$13)</f>
        <v>3.8736000000000002</v>
      </c>
      <c r="G75" s="64">
        <f>3.8737 * CHOOSE(CONTROL!$C$22, $C$13, 100%, $E$13)</f>
        <v>3.8736999999999999</v>
      </c>
      <c r="H75" s="64">
        <f>6.3068* CHOOSE(CONTROL!$C$22, $C$13, 100%, $E$13)</f>
        <v>6.3068</v>
      </c>
      <c r="I75" s="64">
        <f>6.3069 * CHOOSE(CONTROL!$C$22, $C$13, 100%, $E$13)</f>
        <v>6.3068999999999997</v>
      </c>
      <c r="J75" s="64">
        <f>3.8736 * CHOOSE(CONTROL!$C$22, $C$13, 100%, $E$13)</f>
        <v>3.8736000000000002</v>
      </c>
      <c r="K75" s="64">
        <f>3.8737 * CHOOSE(CONTROL!$C$22, $C$13, 100%, $E$13)</f>
        <v>3.8736999999999999</v>
      </c>
      <c r="L75" s="4"/>
      <c r="M75" s="4"/>
      <c r="N75" s="4"/>
    </row>
    <row r="76" spans="1:14" ht="15">
      <c r="A76" s="13">
        <v>43800</v>
      </c>
      <c r="B76" s="63">
        <f>3.1314 * CHOOSE(CONTROL!$C$22, $C$13, 100%, $E$13)</f>
        <v>3.1314000000000002</v>
      </c>
      <c r="C76" s="63">
        <f>3.1314 * CHOOSE(CONTROL!$C$22, $C$13, 100%, $E$13)</f>
        <v>3.1314000000000002</v>
      </c>
      <c r="D76" s="63">
        <f>3.1314 * CHOOSE(CONTROL!$C$22, $C$13, 100%, $E$13)</f>
        <v>3.1314000000000002</v>
      </c>
      <c r="E76" s="64">
        <f>3.8503 * CHOOSE(CONTROL!$C$22, $C$13, 100%, $E$13)</f>
        <v>3.8502999999999998</v>
      </c>
      <c r="F76" s="64">
        <f>3.8503 * CHOOSE(CONTROL!$C$22, $C$13, 100%, $E$13)</f>
        <v>3.8502999999999998</v>
      </c>
      <c r="G76" s="64">
        <f>3.8503 * CHOOSE(CONTROL!$C$22, $C$13, 100%, $E$13)</f>
        <v>3.8502999999999998</v>
      </c>
      <c r="H76" s="64">
        <f>6.32* CHOOSE(CONTROL!$C$22, $C$13, 100%, $E$13)</f>
        <v>6.32</v>
      </c>
      <c r="I76" s="64">
        <f>6.32 * CHOOSE(CONTROL!$C$22, $C$13, 100%, $E$13)</f>
        <v>6.32</v>
      </c>
      <c r="J76" s="64">
        <f>3.8503 * CHOOSE(CONTROL!$C$22, $C$13, 100%, $E$13)</f>
        <v>3.8502999999999998</v>
      </c>
      <c r="K76" s="64">
        <f>3.8503 * CHOOSE(CONTROL!$C$22, $C$13, 100%, $E$13)</f>
        <v>3.8502999999999998</v>
      </c>
      <c r="L76" s="4"/>
      <c r="M76" s="4"/>
      <c r="N76" s="4"/>
    </row>
    <row r="77" spans="1:14" ht="15">
      <c r="A77" s="13">
        <v>43831</v>
      </c>
      <c r="B77" s="63">
        <f>3.167 * CHOOSE(CONTROL!$C$22, $C$13, 100%, $E$13)</f>
        <v>3.1669999999999998</v>
      </c>
      <c r="C77" s="63">
        <f>3.167 * CHOOSE(CONTROL!$C$22, $C$13, 100%, $E$13)</f>
        <v>3.1669999999999998</v>
      </c>
      <c r="D77" s="63">
        <f>3.167 * CHOOSE(CONTROL!$C$22, $C$13, 100%, $E$13)</f>
        <v>3.1669999999999998</v>
      </c>
      <c r="E77" s="64">
        <f>3.8608 * CHOOSE(CONTROL!$C$22, $C$13, 100%, $E$13)</f>
        <v>3.8607999999999998</v>
      </c>
      <c r="F77" s="64">
        <f>3.8608 * CHOOSE(CONTROL!$C$22, $C$13, 100%, $E$13)</f>
        <v>3.8607999999999998</v>
      </c>
      <c r="G77" s="64">
        <f>3.8609 * CHOOSE(CONTROL!$C$22, $C$13, 100%, $E$13)</f>
        <v>3.8609</v>
      </c>
      <c r="H77" s="64">
        <f>6.3331* CHOOSE(CONTROL!$C$22, $C$13, 100%, $E$13)</f>
        <v>6.3331</v>
      </c>
      <c r="I77" s="64">
        <f>6.3332 * CHOOSE(CONTROL!$C$22, $C$13, 100%, $E$13)</f>
        <v>6.3331999999999997</v>
      </c>
      <c r="J77" s="64">
        <f>3.8608 * CHOOSE(CONTROL!$C$22, $C$13, 100%, $E$13)</f>
        <v>3.8607999999999998</v>
      </c>
      <c r="K77" s="64">
        <f>3.8609 * CHOOSE(CONTROL!$C$22, $C$13, 100%, $E$13)</f>
        <v>3.8609</v>
      </c>
      <c r="L77" s="4"/>
      <c r="M77" s="4"/>
      <c r="N77" s="4"/>
    </row>
    <row r="78" spans="1:14" ht="15">
      <c r="A78" s="13">
        <v>43862</v>
      </c>
      <c r="B78" s="63">
        <f>3.164 * CHOOSE(CONTROL!$C$22, $C$13, 100%, $E$13)</f>
        <v>3.1640000000000001</v>
      </c>
      <c r="C78" s="63">
        <f>3.164 * CHOOSE(CONTROL!$C$22, $C$13, 100%, $E$13)</f>
        <v>3.1640000000000001</v>
      </c>
      <c r="D78" s="63">
        <f>3.164 * CHOOSE(CONTROL!$C$22, $C$13, 100%, $E$13)</f>
        <v>3.1640000000000001</v>
      </c>
      <c r="E78" s="64">
        <f>3.8041 * CHOOSE(CONTROL!$C$22, $C$13, 100%, $E$13)</f>
        <v>3.8041</v>
      </c>
      <c r="F78" s="64">
        <f>3.8041 * CHOOSE(CONTROL!$C$22, $C$13, 100%, $E$13)</f>
        <v>3.8041</v>
      </c>
      <c r="G78" s="64">
        <f>3.8041 * CHOOSE(CONTROL!$C$22, $C$13, 100%, $E$13)</f>
        <v>3.8041</v>
      </c>
      <c r="H78" s="64">
        <f>6.3463* CHOOSE(CONTROL!$C$22, $C$13, 100%, $E$13)</f>
        <v>6.3463000000000003</v>
      </c>
      <c r="I78" s="64">
        <f>6.3464 * CHOOSE(CONTROL!$C$22, $C$13, 100%, $E$13)</f>
        <v>6.3464</v>
      </c>
      <c r="J78" s="64">
        <f>3.8041 * CHOOSE(CONTROL!$C$22, $C$13, 100%, $E$13)</f>
        <v>3.8041</v>
      </c>
      <c r="K78" s="64">
        <f>3.8041 * CHOOSE(CONTROL!$C$22, $C$13, 100%, $E$13)</f>
        <v>3.8041</v>
      </c>
      <c r="L78" s="4"/>
      <c r="M78" s="4"/>
      <c r="N78" s="4"/>
    </row>
    <row r="79" spans="1:14" ht="15">
      <c r="A79" s="13">
        <v>43891</v>
      </c>
      <c r="B79" s="63">
        <f>3.1609 * CHOOSE(CONTROL!$C$22, $C$13, 100%, $E$13)</f>
        <v>3.1608999999999998</v>
      </c>
      <c r="C79" s="63">
        <f>3.1609 * CHOOSE(CONTROL!$C$22, $C$13, 100%, $E$13)</f>
        <v>3.1608999999999998</v>
      </c>
      <c r="D79" s="63">
        <f>3.1609 * CHOOSE(CONTROL!$C$22, $C$13, 100%, $E$13)</f>
        <v>3.1608999999999998</v>
      </c>
      <c r="E79" s="64">
        <f>3.845 * CHOOSE(CONTROL!$C$22, $C$13, 100%, $E$13)</f>
        <v>3.8450000000000002</v>
      </c>
      <c r="F79" s="64">
        <f>3.845 * CHOOSE(CONTROL!$C$22, $C$13, 100%, $E$13)</f>
        <v>3.8450000000000002</v>
      </c>
      <c r="G79" s="64">
        <f>3.8451 * CHOOSE(CONTROL!$C$22, $C$13, 100%, $E$13)</f>
        <v>3.8451</v>
      </c>
      <c r="H79" s="64">
        <f>6.3595* CHOOSE(CONTROL!$C$22, $C$13, 100%, $E$13)</f>
        <v>6.3594999999999997</v>
      </c>
      <c r="I79" s="64">
        <f>6.3596 * CHOOSE(CONTROL!$C$22, $C$13, 100%, $E$13)</f>
        <v>6.3596000000000004</v>
      </c>
      <c r="J79" s="64">
        <f>3.845 * CHOOSE(CONTROL!$C$22, $C$13, 100%, $E$13)</f>
        <v>3.8450000000000002</v>
      </c>
      <c r="K79" s="64">
        <f>3.8451 * CHOOSE(CONTROL!$C$22, $C$13, 100%, $E$13)</f>
        <v>3.8451</v>
      </c>
      <c r="L79" s="4"/>
      <c r="M79" s="4"/>
      <c r="N79" s="4"/>
    </row>
    <row r="80" spans="1:14" ht="15">
      <c r="A80" s="13">
        <v>43922</v>
      </c>
      <c r="B80" s="63">
        <f>3.1577 * CHOOSE(CONTROL!$C$22, $C$13, 100%, $E$13)</f>
        <v>3.1577000000000002</v>
      </c>
      <c r="C80" s="63">
        <f>3.1577 * CHOOSE(CONTROL!$C$22, $C$13, 100%, $E$13)</f>
        <v>3.1577000000000002</v>
      </c>
      <c r="D80" s="63">
        <f>3.1577 * CHOOSE(CONTROL!$C$22, $C$13, 100%, $E$13)</f>
        <v>3.1577000000000002</v>
      </c>
      <c r="E80" s="64">
        <f>3.8871 * CHOOSE(CONTROL!$C$22, $C$13, 100%, $E$13)</f>
        <v>3.8871000000000002</v>
      </c>
      <c r="F80" s="64">
        <f>3.8871 * CHOOSE(CONTROL!$C$22, $C$13, 100%, $E$13)</f>
        <v>3.8871000000000002</v>
      </c>
      <c r="G80" s="64">
        <f>3.8872 * CHOOSE(CONTROL!$C$22, $C$13, 100%, $E$13)</f>
        <v>3.8872</v>
      </c>
      <c r="H80" s="64">
        <f>6.3728* CHOOSE(CONTROL!$C$22, $C$13, 100%, $E$13)</f>
        <v>6.3727999999999998</v>
      </c>
      <c r="I80" s="64">
        <f>6.3729 * CHOOSE(CONTROL!$C$22, $C$13, 100%, $E$13)</f>
        <v>6.3728999999999996</v>
      </c>
      <c r="J80" s="64">
        <f>3.8871 * CHOOSE(CONTROL!$C$22, $C$13, 100%, $E$13)</f>
        <v>3.8871000000000002</v>
      </c>
      <c r="K80" s="64">
        <f>3.8872 * CHOOSE(CONTROL!$C$22, $C$13, 100%, $E$13)</f>
        <v>3.8872</v>
      </c>
      <c r="L80" s="4"/>
      <c r="M80" s="4"/>
      <c r="N80" s="4"/>
    </row>
    <row r="81" spans="1:14" ht="15">
      <c r="A81" s="13">
        <v>43952</v>
      </c>
      <c r="B81" s="63">
        <f>3.1577 * CHOOSE(CONTROL!$C$22, $C$13, 100%, $E$13)</f>
        <v>3.1577000000000002</v>
      </c>
      <c r="C81" s="63">
        <f>3.1577 * CHOOSE(CONTROL!$C$22, $C$13, 100%, $E$13)</f>
        <v>3.1577000000000002</v>
      </c>
      <c r="D81" s="63">
        <f>3.1658 * CHOOSE(CONTROL!$C$22, $C$13, 100%, $E$13)</f>
        <v>3.1657999999999999</v>
      </c>
      <c r="E81" s="64">
        <f>3.9044 * CHOOSE(CONTROL!$C$22, $C$13, 100%, $E$13)</f>
        <v>3.9043999999999999</v>
      </c>
      <c r="F81" s="64">
        <f>3.9044 * CHOOSE(CONTROL!$C$22, $C$13, 100%, $E$13)</f>
        <v>3.9043999999999999</v>
      </c>
      <c r="G81" s="64">
        <f>3.9143 * CHOOSE(CONTROL!$C$22, $C$13, 100%, $E$13)</f>
        <v>3.9142999999999999</v>
      </c>
      <c r="H81" s="64">
        <f>6.3861* CHOOSE(CONTROL!$C$22, $C$13, 100%, $E$13)</f>
        <v>6.3860999999999999</v>
      </c>
      <c r="I81" s="64">
        <f>6.3959 * CHOOSE(CONTROL!$C$22, $C$13, 100%, $E$13)</f>
        <v>6.3959000000000001</v>
      </c>
      <c r="J81" s="64">
        <f>3.9044 * CHOOSE(CONTROL!$C$22, $C$13, 100%, $E$13)</f>
        <v>3.9043999999999999</v>
      </c>
      <c r="K81" s="64">
        <f>3.9143 * CHOOSE(CONTROL!$C$22, $C$13, 100%, $E$13)</f>
        <v>3.9142999999999999</v>
      </c>
      <c r="L81" s="4"/>
      <c r="M81" s="4"/>
      <c r="N81" s="4"/>
    </row>
    <row r="82" spans="1:14" ht="15">
      <c r="A82" s="13">
        <v>43983</v>
      </c>
      <c r="B82" s="63">
        <f>3.1638 * CHOOSE(CONTROL!$C$22, $C$13, 100%, $E$13)</f>
        <v>3.1638000000000002</v>
      </c>
      <c r="C82" s="63">
        <f>3.1638 * CHOOSE(CONTROL!$C$22, $C$13, 100%, $E$13)</f>
        <v>3.1638000000000002</v>
      </c>
      <c r="D82" s="63">
        <f>3.1719 * CHOOSE(CONTROL!$C$22, $C$13, 100%, $E$13)</f>
        <v>3.1718999999999999</v>
      </c>
      <c r="E82" s="64">
        <f>3.8913 * CHOOSE(CONTROL!$C$22, $C$13, 100%, $E$13)</f>
        <v>3.8913000000000002</v>
      </c>
      <c r="F82" s="64">
        <f>3.8913 * CHOOSE(CONTROL!$C$22, $C$13, 100%, $E$13)</f>
        <v>3.8913000000000002</v>
      </c>
      <c r="G82" s="64">
        <f>3.9012 * CHOOSE(CONTROL!$C$22, $C$13, 100%, $E$13)</f>
        <v>3.9011999999999998</v>
      </c>
      <c r="H82" s="64">
        <f>6.3994* CHOOSE(CONTROL!$C$22, $C$13, 100%, $E$13)</f>
        <v>6.3994</v>
      </c>
      <c r="I82" s="64">
        <f>6.4092 * CHOOSE(CONTROL!$C$22, $C$13, 100%, $E$13)</f>
        <v>6.4092000000000002</v>
      </c>
      <c r="J82" s="64">
        <f>3.8913 * CHOOSE(CONTROL!$C$22, $C$13, 100%, $E$13)</f>
        <v>3.8913000000000002</v>
      </c>
      <c r="K82" s="64">
        <f>3.9012 * CHOOSE(CONTROL!$C$22, $C$13, 100%, $E$13)</f>
        <v>3.9011999999999998</v>
      </c>
      <c r="L82" s="4"/>
      <c r="M82" s="4"/>
      <c r="N82" s="4"/>
    </row>
    <row r="83" spans="1:14" ht="15">
      <c r="A83" s="13">
        <v>44013</v>
      </c>
      <c r="B83" s="63">
        <f>3.2348 * CHOOSE(CONTROL!$C$22, $C$13, 100%, $E$13)</f>
        <v>3.2347999999999999</v>
      </c>
      <c r="C83" s="63">
        <f>3.2348 * CHOOSE(CONTROL!$C$22, $C$13, 100%, $E$13)</f>
        <v>3.2347999999999999</v>
      </c>
      <c r="D83" s="63">
        <f>3.2429 * CHOOSE(CONTROL!$C$22, $C$13, 100%, $E$13)</f>
        <v>3.2429000000000001</v>
      </c>
      <c r="E83" s="64">
        <f>3.6313 * CHOOSE(CONTROL!$C$22, $C$13, 100%, $E$13)</f>
        <v>3.6313</v>
      </c>
      <c r="F83" s="64">
        <f>3.6313 * CHOOSE(CONTROL!$C$22, $C$13, 100%, $E$13)</f>
        <v>3.6313</v>
      </c>
      <c r="G83" s="64">
        <f>3.6411 * CHOOSE(CONTROL!$C$22, $C$13, 100%, $E$13)</f>
        <v>3.6410999999999998</v>
      </c>
      <c r="H83" s="64">
        <f>6.4127* CHOOSE(CONTROL!$C$22, $C$13, 100%, $E$13)</f>
        <v>6.4127000000000001</v>
      </c>
      <c r="I83" s="64">
        <f>6.4225 * CHOOSE(CONTROL!$C$22, $C$13, 100%, $E$13)</f>
        <v>6.4225000000000003</v>
      </c>
      <c r="J83" s="64">
        <f>3.6313 * CHOOSE(CONTROL!$C$22, $C$13, 100%, $E$13)</f>
        <v>3.6313</v>
      </c>
      <c r="K83" s="64">
        <f>3.6411 * CHOOSE(CONTROL!$C$22, $C$13, 100%, $E$13)</f>
        <v>3.6410999999999998</v>
      </c>
      <c r="L83" s="4"/>
      <c r="M83" s="4"/>
      <c r="N83" s="4"/>
    </row>
    <row r="84" spans="1:14" ht="15">
      <c r="A84" s="13">
        <v>44044</v>
      </c>
      <c r="B84" s="63">
        <f>3.2415 * CHOOSE(CONTROL!$C$22, $C$13, 100%, $E$13)</f>
        <v>3.2414999999999998</v>
      </c>
      <c r="C84" s="63">
        <f>3.2415 * CHOOSE(CONTROL!$C$22, $C$13, 100%, $E$13)</f>
        <v>3.2414999999999998</v>
      </c>
      <c r="D84" s="63">
        <f>3.2496 * CHOOSE(CONTROL!$C$22, $C$13, 100%, $E$13)</f>
        <v>3.2496</v>
      </c>
      <c r="E84" s="64">
        <f>3.5839 * CHOOSE(CONTROL!$C$22, $C$13, 100%, $E$13)</f>
        <v>3.5838999999999999</v>
      </c>
      <c r="F84" s="64">
        <f>3.5839 * CHOOSE(CONTROL!$C$22, $C$13, 100%, $E$13)</f>
        <v>3.5838999999999999</v>
      </c>
      <c r="G84" s="64">
        <f>3.5937 * CHOOSE(CONTROL!$C$22, $C$13, 100%, $E$13)</f>
        <v>3.5937000000000001</v>
      </c>
      <c r="H84" s="64">
        <f>6.4261* CHOOSE(CONTROL!$C$22, $C$13, 100%, $E$13)</f>
        <v>6.4260999999999999</v>
      </c>
      <c r="I84" s="64">
        <f>6.4359 * CHOOSE(CONTROL!$C$22, $C$13, 100%, $E$13)</f>
        <v>6.4359000000000002</v>
      </c>
      <c r="J84" s="64">
        <f>3.5839 * CHOOSE(CONTROL!$C$22, $C$13, 100%, $E$13)</f>
        <v>3.5838999999999999</v>
      </c>
      <c r="K84" s="64">
        <f>3.5937 * CHOOSE(CONTROL!$C$22, $C$13, 100%, $E$13)</f>
        <v>3.5937000000000001</v>
      </c>
      <c r="L84" s="4"/>
      <c r="M84" s="4"/>
      <c r="N84" s="4"/>
    </row>
    <row r="85" spans="1:14" ht="15">
      <c r="A85" s="13">
        <v>44075</v>
      </c>
      <c r="B85" s="63">
        <f>3.2384 * CHOOSE(CONTROL!$C$22, $C$13, 100%, $E$13)</f>
        <v>3.2383999999999999</v>
      </c>
      <c r="C85" s="63">
        <f>3.2384 * CHOOSE(CONTROL!$C$22, $C$13, 100%, $E$13)</f>
        <v>3.2383999999999999</v>
      </c>
      <c r="D85" s="63">
        <f>3.2465 * CHOOSE(CONTROL!$C$22, $C$13, 100%, $E$13)</f>
        <v>3.2465000000000002</v>
      </c>
      <c r="E85" s="64">
        <f>3.576 * CHOOSE(CONTROL!$C$22, $C$13, 100%, $E$13)</f>
        <v>3.5760000000000001</v>
      </c>
      <c r="F85" s="64">
        <f>3.576 * CHOOSE(CONTROL!$C$22, $C$13, 100%, $E$13)</f>
        <v>3.5760000000000001</v>
      </c>
      <c r="G85" s="64">
        <f>3.5858 * CHOOSE(CONTROL!$C$22, $C$13, 100%, $E$13)</f>
        <v>3.5857999999999999</v>
      </c>
      <c r="H85" s="64">
        <f>6.4394* CHOOSE(CONTROL!$C$22, $C$13, 100%, $E$13)</f>
        <v>6.4394</v>
      </c>
      <c r="I85" s="64">
        <f>6.4493 * CHOOSE(CONTROL!$C$22, $C$13, 100%, $E$13)</f>
        <v>6.4493</v>
      </c>
      <c r="J85" s="64">
        <f>3.576 * CHOOSE(CONTROL!$C$22, $C$13, 100%, $E$13)</f>
        <v>3.5760000000000001</v>
      </c>
      <c r="K85" s="64">
        <f>3.5858 * CHOOSE(CONTROL!$C$22, $C$13, 100%, $E$13)</f>
        <v>3.5857999999999999</v>
      </c>
      <c r="L85" s="4"/>
      <c r="M85" s="4"/>
      <c r="N85" s="4"/>
    </row>
    <row r="86" spans="1:14" ht="15">
      <c r="A86" s="13">
        <v>44105</v>
      </c>
      <c r="B86" s="63">
        <f>3.2304 * CHOOSE(CONTROL!$C$22, $C$13, 100%, $E$13)</f>
        <v>3.2303999999999999</v>
      </c>
      <c r="C86" s="63">
        <f>3.2304 * CHOOSE(CONTROL!$C$22, $C$13, 100%, $E$13)</f>
        <v>3.2303999999999999</v>
      </c>
      <c r="D86" s="63">
        <f>3.2304 * CHOOSE(CONTROL!$C$22, $C$13, 100%, $E$13)</f>
        <v>3.2303999999999999</v>
      </c>
      <c r="E86" s="64">
        <f>3.5857 * CHOOSE(CONTROL!$C$22, $C$13, 100%, $E$13)</f>
        <v>3.5857000000000001</v>
      </c>
      <c r="F86" s="64">
        <f>3.5857 * CHOOSE(CONTROL!$C$22, $C$13, 100%, $E$13)</f>
        <v>3.5857000000000001</v>
      </c>
      <c r="G86" s="64">
        <f>3.5858 * CHOOSE(CONTROL!$C$22, $C$13, 100%, $E$13)</f>
        <v>3.5857999999999999</v>
      </c>
      <c r="H86" s="64">
        <f>6.4529* CHOOSE(CONTROL!$C$22, $C$13, 100%, $E$13)</f>
        <v>6.4528999999999996</v>
      </c>
      <c r="I86" s="64">
        <f>6.4529 * CHOOSE(CONTROL!$C$22, $C$13, 100%, $E$13)</f>
        <v>6.4528999999999996</v>
      </c>
      <c r="J86" s="64">
        <f>3.5857 * CHOOSE(CONTROL!$C$22, $C$13, 100%, $E$13)</f>
        <v>3.5857000000000001</v>
      </c>
      <c r="K86" s="64">
        <f>3.5858 * CHOOSE(CONTROL!$C$22, $C$13, 100%, $E$13)</f>
        <v>3.5857999999999999</v>
      </c>
      <c r="L86" s="4"/>
      <c r="M86" s="4"/>
      <c r="N86" s="4"/>
    </row>
    <row r="87" spans="1:14" ht="15">
      <c r="A87" s="13">
        <v>44136</v>
      </c>
      <c r="B87" s="63">
        <f>3.2335 * CHOOSE(CONTROL!$C$22, $C$13, 100%, $E$13)</f>
        <v>3.2334999999999998</v>
      </c>
      <c r="C87" s="63">
        <f>3.2335 * CHOOSE(CONTROL!$C$22, $C$13, 100%, $E$13)</f>
        <v>3.2334999999999998</v>
      </c>
      <c r="D87" s="63">
        <f>3.2335 * CHOOSE(CONTROL!$C$22, $C$13, 100%, $E$13)</f>
        <v>3.2334999999999998</v>
      </c>
      <c r="E87" s="64">
        <f>3.5994 * CHOOSE(CONTROL!$C$22, $C$13, 100%, $E$13)</f>
        <v>3.5994000000000002</v>
      </c>
      <c r="F87" s="64">
        <f>3.5994 * CHOOSE(CONTROL!$C$22, $C$13, 100%, $E$13)</f>
        <v>3.5994000000000002</v>
      </c>
      <c r="G87" s="64">
        <f>3.5995 * CHOOSE(CONTROL!$C$22, $C$13, 100%, $E$13)</f>
        <v>3.5994999999999999</v>
      </c>
      <c r="H87" s="64">
        <f>6.4663* CHOOSE(CONTROL!$C$22, $C$13, 100%, $E$13)</f>
        <v>6.4663000000000004</v>
      </c>
      <c r="I87" s="64">
        <f>6.4664 * CHOOSE(CONTROL!$C$22, $C$13, 100%, $E$13)</f>
        <v>6.4664000000000001</v>
      </c>
      <c r="J87" s="64">
        <f>3.5994 * CHOOSE(CONTROL!$C$22, $C$13, 100%, $E$13)</f>
        <v>3.5994000000000002</v>
      </c>
      <c r="K87" s="64">
        <f>3.5995 * CHOOSE(CONTROL!$C$22, $C$13, 100%, $E$13)</f>
        <v>3.5994999999999999</v>
      </c>
      <c r="L87" s="4"/>
      <c r="M87" s="4"/>
      <c r="N87" s="4"/>
    </row>
    <row r="88" spans="1:14" ht="15">
      <c r="A88" s="13">
        <v>44166</v>
      </c>
      <c r="B88" s="63">
        <f>3.2335 * CHOOSE(CONTROL!$C$22, $C$13, 100%, $E$13)</f>
        <v>3.2334999999999998</v>
      </c>
      <c r="C88" s="63">
        <f>3.2335 * CHOOSE(CONTROL!$C$22, $C$13, 100%, $E$13)</f>
        <v>3.2334999999999998</v>
      </c>
      <c r="D88" s="63">
        <f>3.2335 * CHOOSE(CONTROL!$C$22, $C$13, 100%, $E$13)</f>
        <v>3.2334999999999998</v>
      </c>
      <c r="E88" s="64">
        <f>3.5704 * CHOOSE(CONTROL!$C$22, $C$13, 100%, $E$13)</f>
        <v>3.5703999999999998</v>
      </c>
      <c r="F88" s="64">
        <f>3.5704 * CHOOSE(CONTROL!$C$22, $C$13, 100%, $E$13)</f>
        <v>3.5703999999999998</v>
      </c>
      <c r="G88" s="64">
        <f>3.5705 * CHOOSE(CONTROL!$C$22, $C$13, 100%, $E$13)</f>
        <v>3.5705</v>
      </c>
      <c r="H88" s="64">
        <f>6.4798* CHOOSE(CONTROL!$C$22, $C$13, 100%, $E$13)</f>
        <v>6.4798</v>
      </c>
      <c r="I88" s="64">
        <f>6.4799 * CHOOSE(CONTROL!$C$22, $C$13, 100%, $E$13)</f>
        <v>6.4798999999999998</v>
      </c>
      <c r="J88" s="64">
        <f>3.5704 * CHOOSE(CONTROL!$C$22, $C$13, 100%, $E$13)</f>
        <v>3.5703999999999998</v>
      </c>
      <c r="K88" s="64">
        <f>3.5705 * CHOOSE(CONTROL!$C$22, $C$13, 100%, $E$13)</f>
        <v>3.5705</v>
      </c>
      <c r="L88" s="4"/>
      <c r="M88" s="4"/>
      <c r="N88" s="4"/>
    </row>
    <row r="89" spans="1:14" ht="15">
      <c r="A89" s="13">
        <v>44197</v>
      </c>
      <c r="B89" s="63">
        <f>3.2543 * CHOOSE(CONTROL!$C$22, $C$13, 100%, $E$13)</f>
        <v>3.2543000000000002</v>
      </c>
      <c r="C89" s="63">
        <f>3.2543 * CHOOSE(CONTROL!$C$22, $C$13, 100%, $E$13)</f>
        <v>3.2543000000000002</v>
      </c>
      <c r="D89" s="63">
        <f>3.2543 * CHOOSE(CONTROL!$C$22, $C$13, 100%, $E$13)</f>
        <v>3.2543000000000002</v>
      </c>
      <c r="E89" s="64">
        <f>3.6909 * CHOOSE(CONTROL!$C$22, $C$13, 100%, $E$13)</f>
        <v>3.6909000000000001</v>
      </c>
      <c r="F89" s="64">
        <f>3.6909 * CHOOSE(CONTROL!$C$22, $C$13, 100%, $E$13)</f>
        <v>3.6909000000000001</v>
      </c>
      <c r="G89" s="64">
        <f>3.6909 * CHOOSE(CONTROL!$C$22, $C$13, 100%, $E$13)</f>
        <v>3.6909000000000001</v>
      </c>
      <c r="H89" s="64">
        <f>6.4933* CHOOSE(CONTROL!$C$22, $C$13, 100%, $E$13)</f>
        <v>6.4932999999999996</v>
      </c>
      <c r="I89" s="64">
        <f>6.4934 * CHOOSE(CONTROL!$C$22, $C$13, 100%, $E$13)</f>
        <v>6.4934000000000003</v>
      </c>
      <c r="J89" s="64">
        <f>3.6909 * CHOOSE(CONTROL!$C$22, $C$13, 100%, $E$13)</f>
        <v>3.6909000000000001</v>
      </c>
      <c r="K89" s="64">
        <f>3.6909 * CHOOSE(CONTROL!$C$22, $C$13, 100%, $E$13)</f>
        <v>3.6909000000000001</v>
      </c>
      <c r="L89" s="4"/>
      <c r="M89" s="4"/>
      <c r="N89" s="4"/>
    </row>
    <row r="90" spans="1:14" ht="15">
      <c r="A90" s="13">
        <v>44228</v>
      </c>
      <c r="B90" s="63">
        <f>3.2513 * CHOOSE(CONTROL!$C$22, $C$13, 100%, $E$13)</f>
        <v>3.2513000000000001</v>
      </c>
      <c r="C90" s="63">
        <f>3.2513 * CHOOSE(CONTROL!$C$22, $C$13, 100%, $E$13)</f>
        <v>3.2513000000000001</v>
      </c>
      <c r="D90" s="63">
        <f>3.2513 * CHOOSE(CONTROL!$C$22, $C$13, 100%, $E$13)</f>
        <v>3.2513000000000001</v>
      </c>
      <c r="E90" s="64">
        <f>3.6298 * CHOOSE(CONTROL!$C$22, $C$13, 100%, $E$13)</f>
        <v>3.6297999999999999</v>
      </c>
      <c r="F90" s="64">
        <f>3.6298 * CHOOSE(CONTROL!$C$22, $C$13, 100%, $E$13)</f>
        <v>3.6297999999999999</v>
      </c>
      <c r="G90" s="64">
        <f>3.6299 * CHOOSE(CONTROL!$C$22, $C$13, 100%, $E$13)</f>
        <v>3.6299000000000001</v>
      </c>
      <c r="H90" s="64">
        <f>6.5068* CHOOSE(CONTROL!$C$22, $C$13, 100%, $E$13)</f>
        <v>6.5068000000000001</v>
      </c>
      <c r="I90" s="64">
        <f>6.5069 * CHOOSE(CONTROL!$C$22, $C$13, 100%, $E$13)</f>
        <v>6.5068999999999999</v>
      </c>
      <c r="J90" s="64">
        <f>3.6298 * CHOOSE(CONTROL!$C$22, $C$13, 100%, $E$13)</f>
        <v>3.6297999999999999</v>
      </c>
      <c r="K90" s="64">
        <f>3.6299 * CHOOSE(CONTROL!$C$22, $C$13, 100%, $E$13)</f>
        <v>3.6299000000000001</v>
      </c>
      <c r="L90" s="4"/>
      <c r="M90" s="4"/>
      <c r="N90" s="4"/>
    </row>
    <row r="91" spans="1:14" ht="15">
      <c r="A91" s="13">
        <v>44256</v>
      </c>
      <c r="B91" s="63">
        <f>3.2482 * CHOOSE(CONTROL!$C$22, $C$13, 100%, $E$13)</f>
        <v>3.2482000000000002</v>
      </c>
      <c r="C91" s="63">
        <f>3.2482 * CHOOSE(CONTROL!$C$22, $C$13, 100%, $E$13)</f>
        <v>3.2482000000000002</v>
      </c>
      <c r="D91" s="63">
        <f>3.2482 * CHOOSE(CONTROL!$C$22, $C$13, 100%, $E$13)</f>
        <v>3.2482000000000002</v>
      </c>
      <c r="E91" s="64">
        <f>3.6741 * CHOOSE(CONTROL!$C$22, $C$13, 100%, $E$13)</f>
        <v>3.6741000000000001</v>
      </c>
      <c r="F91" s="64">
        <f>3.6741 * CHOOSE(CONTROL!$C$22, $C$13, 100%, $E$13)</f>
        <v>3.6741000000000001</v>
      </c>
      <c r="G91" s="64">
        <f>3.6742 * CHOOSE(CONTROL!$C$22, $C$13, 100%, $E$13)</f>
        <v>3.6741999999999999</v>
      </c>
      <c r="H91" s="64">
        <f>6.5204* CHOOSE(CONTROL!$C$22, $C$13, 100%, $E$13)</f>
        <v>6.5204000000000004</v>
      </c>
      <c r="I91" s="64">
        <f>6.5204 * CHOOSE(CONTROL!$C$22, $C$13, 100%, $E$13)</f>
        <v>6.5204000000000004</v>
      </c>
      <c r="J91" s="64">
        <f>3.6741 * CHOOSE(CONTROL!$C$22, $C$13, 100%, $E$13)</f>
        <v>3.6741000000000001</v>
      </c>
      <c r="K91" s="64">
        <f>3.6742 * CHOOSE(CONTROL!$C$22, $C$13, 100%, $E$13)</f>
        <v>3.6741999999999999</v>
      </c>
      <c r="L91" s="4"/>
      <c r="M91" s="4"/>
      <c r="N91" s="4"/>
    </row>
    <row r="92" spans="1:14" ht="15">
      <c r="A92" s="13">
        <v>44287</v>
      </c>
      <c r="B92" s="63">
        <f>3.2451 * CHOOSE(CONTROL!$C$22, $C$13, 100%, $E$13)</f>
        <v>3.2450999999999999</v>
      </c>
      <c r="C92" s="63">
        <f>3.2451 * CHOOSE(CONTROL!$C$22, $C$13, 100%, $E$13)</f>
        <v>3.2450999999999999</v>
      </c>
      <c r="D92" s="63">
        <f>3.2451 * CHOOSE(CONTROL!$C$22, $C$13, 100%, $E$13)</f>
        <v>3.2450999999999999</v>
      </c>
      <c r="E92" s="64">
        <f>3.7198 * CHOOSE(CONTROL!$C$22, $C$13, 100%, $E$13)</f>
        <v>3.7198000000000002</v>
      </c>
      <c r="F92" s="64">
        <f>3.7198 * CHOOSE(CONTROL!$C$22, $C$13, 100%, $E$13)</f>
        <v>3.7198000000000002</v>
      </c>
      <c r="G92" s="64">
        <f>3.7199 * CHOOSE(CONTROL!$C$22, $C$13, 100%, $E$13)</f>
        <v>3.7199</v>
      </c>
      <c r="H92" s="64">
        <f>6.5339* CHOOSE(CONTROL!$C$22, $C$13, 100%, $E$13)</f>
        <v>6.5339</v>
      </c>
      <c r="I92" s="64">
        <f>6.534 * CHOOSE(CONTROL!$C$22, $C$13, 100%, $E$13)</f>
        <v>6.5339999999999998</v>
      </c>
      <c r="J92" s="64">
        <f>3.7198 * CHOOSE(CONTROL!$C$22, $C$13, 100%, $E$13)</f>
        <v>3.7198000000000002</v>
      </c>
      <c r="K92" s="64">
        <f>3.7199 * CHOOSE(CONTROL!$C$22, $C$13, 100%, $E$13)</f>
        <v>3.7199</v>
      </c>
      <c r="L92" s="4"/>
      <c r="M92" s="4"/>
      <c r="N92" s="4"/>
    </row>
    <row r="93" spans="1:14" ht="15">
      <c r="A93" s="13">
        <v>44317</v>
      </c>
      <c r="B93" s="63">
        <f>3.2451 * CHOOSE(CONTROL!$C$22, $C$13, 100%, $E$13)</f>
        <v>3.2450999999999999</v>
      </c>
      <c r="C93" s="63">
        <f>3.2451 * CHOOSE(CONTROL!$C$22, $C$13, 100%, $E$13)</f>
        <v>3.2450999999999999</v>
      </c>
      <c r="D93" s="63">
        <f>3.2532 * CHOOSE(CONTROL!$C$22, $C$13, 100%, $E$13)</f>
        <v>3.2532000000000001</v>
      </c>
      <c r="E93" s="64">
        <f>3.7385 * CHOOSE(CONTROL!$C$22, $C$13, 100%, $E$13)</f>
        <v>3.7385000000000002</v>
      </c>
      <c r="F93" s="64">
        <f>3.7385 * CHOOSE(CONTROL!$C$22, $C$13, 100%, $E$13)</f>
        <v>3.7385000000000002</v>
      </c>
      <c r="G93" s="64">
        <f>3.7484 * CHOOSE(CONTROL!$C$22, $C$13, 100%, $E$13)</f>
        <v>3.7484000000000002</v>
      </c>
      <c r="H93" s="64">
        <f>6.5476* CHOOSE(CONTROL!$C$22, $C$13, 100%, $E$13)</f>
        <v>6.5476000000000001</v>
      </c>
      <c r="I93" s="64">
        <f>6.5574 * CHOOSE(CONTROL!$C$22, $C$13, 100%, $E$13)</f>
        <v>6.5574000000000003</v>
      </c>
      <c r="J93" s="64">
        <f>3.7385 * CHOOSE(CONTROL!$C$22, $C$13, 100%, $E$13)</f>
        <v>3.7385000000000002</v>
      </c>
      <c r="K93" s="64">
        <f>3.7484 * CHOOSE(CONTROL!$C$22, $C$13, 100%, $E$13)</f>
        <v>3.7484000000000002</v>
      </c>
      <c r="L93" s="4"/>
      <c r="M93" s="4"/>
      <c r="N93" s="4"/>
    </row>
    <row r="94" spans="1:14" ht="15">
      <c r="A94" s="13">
        <v>44348</v>
      </c>
      <c r="B94" s="63">
        <f>3.2512 * CHOOSE(CONTROL!$C$22, $C$13, 100%, $E$13)</f>
        <v>3.2511999999999999</v>
      </c>
      <c r="C94" s="63">
        <f>3.2512 * CHOOSE(CONTROL!$C$22, $C$13, 100%, $E$13)</f>
        <v>3.2511999999999999</v>
      </c>
      <c r="D94" s="63">
        <f>3.2593 * CHOOSE(CONTROL!$C$22, $C$13, 100%, $E$13)</f>
        <v>3.2593000000000001</v>
      </c>
      <c r="E94" s="64">
        <f>3.724 * CHOOSE(CONTROL!$C$22, $C$13, 100%, $E$13)</f>
        <v>3.7240000000000002</v>
      </c>
      <c r="F94" s="64">
        <f>3.724 * CHOOSE(CONTROL!$C$22, $C$13, 100%, $E$13)</f>
        <v>3.7240000000000002</v>
      </c>
      <c r="G94" s="64">
        <f>3.7339 * CHOOSE(CONTROL!$C$22, $C$13, 100%, $E$13)</f>
        <v>3.7339000000000002</v>
      </c>
      <c r="H94" s="64">
        <f>6.5612* CHOOSE(CONTROL!$C$22, $C$13, 100%, $E$13)</f>
        <v>6.5612000000000004</v>
      </c>
      <c r="I94" s="64">
        <f>6.571 * CHOOSE(CONTROL!$C$22, $C$13, 100%, $E$13)</f>
        <v>6.5709999999999997</v>
      </c>
      <c r="J94" s="64">
        <f>3.724 * CHOOSE(CONTROL!$C$22, $C$13, 100%, $E$13)</f>
        <v>3.7240000000000002</v>
      </c>
      <c r="K94" s="64">
        <f>3.7339 * CHOOSE(CONTROL!$C$22, $C$13, 100%, $E$13)</f>
        <v>3.7339000000000002</v>
      </c>
      <c r="L94" s="4"/>
      <c r="M94" s="4"/>
      <c r="N94" s="4"/>
    </row>
    <row r="95" spans="1:14" ht="15">
      <c r="A95" s="13">
        <v>44378</v>
      </c>
      <c r="B95" s="63">
        <f>3.2867 * CHOOSE(CONTROL!$C$22, $C$13, 100%, $E$13)</f>
        <v>3.2867000000000002</v>
      </c>
      <c r="C95" s="63">
        <f>3.2867 * CHOOSE(CONTROL!$C$22, $C$13, 100%, $E$13)</f>
        <v>3.2867000000000002</v>
      </c>
      <c r="D95" s="63">
        <f>3.2948 * CHOOSE(CONTROL!$C$22, $C$13, 100%, $E$13)</f>
        <v>3.2948</v>
      </c>
      <c r="E95" s="64">
        <f>3.8884 * CHOOSE(CONTROL!$C$22, $C$13, 100%, $E$13)</f>
        <v>3.8883999999999999</v>
      </c>
      <c r="F95" s="64">
        <f>3.8884 * CHOOSE(CONTROL!$C$22, $C$13, 100%, $E$13)</f>
        <v>3.8883999999999999</v>
      </c>
      <c r="G95" s="64">
        <f>3.8982 * CHOOSE(CONTROL!$C$22, $C$13, 100%, $E$13)</f>
        <v>3.8982000000000001</v>
      </c>
      <c r="H95" s="64">
        <f>6.5749* CHOOSE(CONTROL!$C$22, $C$13, 100%, $E$13)</f>
        <v>6.5749000000000004</v>
      </c>
      <c r="I95" s="64">
        <f>6.5847 * CHOOSE(CONTROL!$C$22, $C$13, 100%, $E$13)</f>
        <v>6.5846999999999998</v>
      </c>
      <c r="J95" s="64">
        <f>3.8884 * CHOOSE(CONTROL!$C$22, $C$13, 100%, $E$13)</f>
        <v>3.8883999999999999</v>
      </c>
      <c r="K95" s="64">
        <f>3.8982 * CHOOSE(CONTROL!$C$22, $C$13, 100%, $E$13)</f>
        <v>3.8982000000000001</v>
      </c>
      <c r="L95" s="4"/>
      <c r="M95" s="4"/>
      <c r="N95" s="4"/>
    </row>
    <row r="96" spans="1:14" ht="15">
      <c r="A96" s="13">
        <v>44409</v>
      </c>
      <c r="B96" s="63">
        <f>3.2934 * CHOOSE(CONTROL!$C$22, $C$13, 100%, $E$13)</f>
        <v>3.2934000000000001</v>
      </c>
      <c r="C96" s="63">
        <f>3.2934 * CHOOSE(CONTROL!$C$22, $C$13, 100%, $E$13)</f>
        <v>3.2934000000000001</v>
      </c>
      <c r="D96" s="63">
        <f>3.3015 * CHOOSE(CONTROL!$C$22, $C$13, 100%, $E$13)</f>
        <v>3.3014999999999999</v>
      </c>
      <c r="E96" s="64">
        <f>3.8369 * CHOOSE(CONTROL!$C$22, $C$13, 100%, $E$13)</f>
        <v>3.8369</v>
      </c>
      <c r="F96" s="64">
        <f>3.8369 * CHOOSE(CONTROL!$C$22, $C$13, 100%, $E$13)</f>
        <v>3.8369</v>
      </c>
      <c r="G96" s="64">
        <f>3.8467 * CHOOSE(CONTROL!$C$22, $C$13, 100%, $E$13)</f>
        <v>3.8466999999999998</v>
      </c>
      <c r="H96" s="64">
        <f>6.5886* CHOOSE(CONTROL!$C$22, $C$13, 100%, $E$13)</f>
        <v>6.5885999999999996</v>
      </c>
      <c r="I96" s="64">
        <f>6.5984 * CHOOSE(CONTROL!$C$22, $C$13, 100%, $E$13)</f>
        <v>6.5983999999999998</v>
      </c>
      <c r="J96" s="64">
        <f>3.8369 * CHOOSE(CONTROL!$C$22, $C$13, 100%, $E$13)</f>
        <v>3.8369</v>
      </c>
      <c r="K96" s="64">
        <f>3.8467 * CHOOSE(CONTROL!$C$22, $C$13, 100%, $E$13)</f>
        <v>3.8466999999999998</v>
      </c>
      <c r="L96" s="4"/>
      <c r="M96" s="4"/>
      <c r="N96" s="4"/>
    </row>
    <row r="97" spans="1:14" ht="15">
      <c r="A97" s="13">
        <v>44440</v>
      </c>
      <c r="B97" s="63">
        <f>3.2903 * CHOOSE(CONTROL!$C$22, $C$13, 100%, $E$13)</f>
        <v>3.2902999999999998</v>
      </c>
      <c r="C97" s="63">
        <f>3.2903 * CHOOSE(CONTROL!$C$22, $C$13, 100%, $E$13)</f>
        <v>3.2902999999999998</v>
      </c>
      <c r="D97" s="63">
        <f>3.2984 * CHOOSE(CONTROL!$C$22, $C$13, 100%, $E$13)</f>
        <v>3.2984</v>
      </c>
      <c r="E97" s="64">
        <f>3.8285 * CHOOSE(CONTROL!$C$22, $C$13, 100%, $E$13)</f>
        <v>3.8285</v>
      </c>
      <c r="F97" s="64">
        <f>3.8285 * CHOOSE(CONTROL!$C$22, $C$13, 100%, $E$13)</f>
        <v>3.8285</v>
      </c>
      <c r="G97" s="64">
        <f>3.8384 * CHOOSE(CONTROL!$C$22, $C$13, 100%, $E$13)</f>
        <v>3.8384</v>
      </c>
      <c r="H97" s="64">
        <f>6.6023* CHOOSE(CONTROL!$C$22, $C$13, 100%, $E$13)</f>
        <v>6.6022999999999996</v>
      </c>
      <c r="I97" s="64">
        <f>6.6121 * CHOOSE(CONTROL!$C$22, $C$13, 100%, $E$13)</f>
        <v>6.6120999999999999</v>
      </c>
      <c r="J97" s="64">
        <f>3.8285 * CHOOSE(CONTROL!$C$22, $C$13, 100%, $E$13)</f>
        <v>3.8285</v>
      </c>
      <c r="K97" s="64">
        <f>3.8384 * CHOOSE(CONTROL!$C$22, $C$13, 100%, $E$13)</f>
        <v>3.8384</v>
      </c>
      <c r="L97" s="4"/>
      <c r="M97" s="4"/>
      <c r="N97" s="4"/>
    </row>
    <row r="98" spans="1:14" ht="15">
      <c r="A98" s="13">
        <v>44470</v>
      </c>
      <c r="B98" s="63">
        <f>3.2826 * CHOOSE(CONTROL!$C$22, $C$13, 100%, $E$13)</f>
        <v>3.2826</v>
      </c>
      <c r="C98" s="63">
        <f>3.2826 * CHOOSE(CONTROL!$C$22, $C$13, 100%, $E$13)</f>
        <v>3.2826</v>
      </c>
      <c r="D98" s="63">
        <f>3.2826 * CHOOSE(CONTROL!$C$22, $C$13, 100%, $E$13)</f>
        <v>3.2826</v>
      </c>
      <c r="E98" s="64">
        <f>3.8401 * CHOOSE(CONTROL!$C$22, $C$13, 100%, $E$13)</f>
        <v>3.8401000000000001</v>
      </c>
      <c r="F98" s="64">
        <f>3.8401 * CHOOSE(CONTROL!$C$22, $C$13, 100%, $E$13)</f>
        <v>3.8401000000000001</v>
      </c>
      <c r="G98" s="64">
        <f>3.8402 * CHOOSE(CONTROL!$C$22, $C$13, 100%, $E$13)</f>
        <v>3.8401999999999998</v>
      </c>
      <c r="H98" s="64">
        <f>6.616* CHOOSE(CONTROL!$C$22, $C$13, 100%, $E$13)</f>
        <v>6.6159999999999997</v>
      </c>
      <c r="I98" s="64">
        <f>6.6161 * CHOOSE(CONTROL!$C$22, $C$13, 100%, $E$13)</f>
        <v>6.6161000000000003</v>
      </c>
      <c r="J98" s="64">
        <f>3.8401 * CHOOSE(CONTROL!$C$22, $C$13, 100%, $E$13)</f>
        <v>3.8401000000000001</v>
      </c>
      <c r="K98" s="64">
        <f>3.8402 * CHOOSE(CONTROL!$C$22, $C$13, 100%, $E$13)</f>
        <v>3.8401999999999998</v>
      </c>
      <c r="L98" s="4"/>
      <c r="M98" s="4"/>
      <c r="N98" s="4"/>
    </row>
    <row r="99" spans="1:14" ht="15">
      <c r="A99" s="13">
        <v>44501</v>
      </c>
      <c r="B99" s="63">
        <f>3.2856 * CHOOSE(CONTROL!$C$22, $C$13, 100%, $E$13)</f>
        <v>3.2856000000000001</v>
      </c>
      <c r="C99" s="63">
        <f>3.2856 * CHOOSE(CONTROL!$C$22, $C$13, 100%, $E$13)</f>
        <v>3.2856000000000001</v>
      </c>
      <c r="D99" s="63">
        <f>3.2856 * CHOOSE(CONTROL!$C$22, $C$13, 100%, $E$13)</f>
        <v>3.2856000000000001</v>
      </c>
      <c r="E99" s="64">
        <f>3.8547 * CHOOSE(CONTROL!$C$22, $C$13, 100%, $E$13)</f>
        <v>3.8546999999999998</v>
      </c>
      <c r="F99" s="64">
        <f>3.8547 * CHOOSE(CONTROL!$C$22, $C$13, 100%, $E$13)</f>
        <v>3.8546999999999998</v>
      </c>
      <c r="G99" s="64">
        <f>3.8547 * CHOOSE(CONTROL!$C$22, $C$13, 100%, $E$13)</f>
        <v>3.8546999999999998</v>
      </c>
      <c r="H99" s="64">
        <f>6.6298* CHOOSE(CONTROL!$C$22, $C$13, 100%, $E$13)</f>
        <v>6.6298000000000004</v>
      </c>
      <c r="I99" s="64">
        <f>6.6299 * CHOOSE(CONTROL!$C$22, $C$13, 100%, $E$13)</f>
        <v>6.6299000000000001</v>
      </c>
      <c r="J99" s="64">
        <f>3.8547 * CHOOSE(CONTROL!$C$22, $C$13, 100%, $E$13)</f>
        <v>3.8546999999999998</v>
      </c>
      <c r="K99" s="64">
        <f>3.8547 * CHOOSE(CONTROL!$C$22, $C$13, 100%, $E$13)</f>
        <v>3.8546999999999998</v>
      </c>
      <c r="L99" s="4"/>
      <c r="M99" s="4"/>
      <c r="N99" s="4"/>
    </row>
    <row r="100" spans="1:14" ht="15">
      <c r="A100" s="13">
        <v>44531</v>
      </c>
      <c r="B100" s="63">
        <f>3.2856 * CHOOSE(CONTROL!$C$22, $C$13, 100%, $E$13)</f>
        <v>3.2856000000000001</v>
      </c>
      <c r="C100" s="63">
        <f>3.2856 * CHOOSE(CONTROL!$C$22, $C$13, 100%, $E$13)</f>
        <v>3.2856000000000001</v>
      </c>
      <c r="D100" s="63">
        <f>3.2856 * CHOOSE(CONTROL!$C$22, $C$13, 100%, $E$13)</f>
        <v>3.2856000000000001</v>
      </c>
      <c r="E100" s="64">
        <f>3.8235 * CHOOSE(CONTROL!$C$22, $C$13, 100%, $E$13)</f>
        <v>3.8235000000000001</v>
      </c>
      <c r="F100" s="64">
        <f>3.8235 * CHOOSE(CONTROL!$C$22, $C$13, 100%, $E$13)</f>
        <v>3.8235000000000001</v>
      </c>
      <c r="G100" s="64">
        <f>3.8236 * CHOOSE(CONTROL!$C$22, $C$13, 100%, $E$13)</f>
        <v>3.8235999999999999</v>
      </c>
      <c r="H100" s="64">
        <f>6.6436* CHOOSE(CONTROL!$C$22, $C$13, 100%, $E$13)</f>
        <v>6.6436000000000002</v>
      </c>
      <c r="I100" s="64">
        <f>6.6437 * CHOOSE(CONTROL!$C$22, $C$13, 100%, $E$13)</f>
        <v>6.6436999999999999</v>
      </c>
      <c r="J100" s="64">
        <f>3.8235 * CHOOSE(CONTROL!$C$22, $C$13, 100%, $E$13)</f>
        <v>3.8235000000000001</v>
      </c>
      <c r="K100" s="64">
        <f>3.8236 * CHOOSE(CONTROL!$C$22, $C$13, 100%, $E$13)</f>
        <v>3.8235999999999999</v>
      </c>
      <c r="L100" s="4"/>
      <c r="M100" s="4"/>
      <c r="N100" s="4"/>
    </row>
    <row r="101" spans="1:14" ht="15">
      <c r="A101" s="13">
        <v>44562</v>
      </c>
      <c r="B101" s="63">
        <f>3.315 * CHOOSE(CONTROL!$C$22, $C$13, 100%, $E$13)</f>
        <v>3.3149999999999999</v>
      </c>
      <c r="C101" s="63">
        <f>3.315 * CHOOSE(CONTROL!$C$22, $C$13, 100%, $E$13)</f>
        <v>3.3149999999999999</v>
      </c>
      <c r="D101" s="63">
        <f>3.3151 * CHOOSE(CONTROL!$C$22, $C$13, 100%, $E$13)</f>
        <v>3.3151000000000002</v>
      </c>
      <c r="E101" s="64">
        <f>3.9024 * CHOOSE(CONTROL!$C$22, $C$13, 100%, $E$13)</f>
        <v>3.9024000000000001</v>
      </c>
      <c r="F101" s="64">
        <f>3.9024 * CHOOSE(CONTROL!$C$22, $C$13, 100%, $E$13)</f>
        <v>3.9024000000000001</v>
      </c>
      <c r="G101" s="64">
        <f>3.9025 * CHOOSE(CONTROL!$C$22, $C$13, 100%, $E$13)</f>
        <v>3.9024999999999999</v>
      </c>
      <c r="H101" s="64">
        <f>6.6575* CHOOSE(CONTROL!$C$22, $C$13, 100%, $E$13)</f>
        <v>6.6574999999999998</v>
      </c>
      <c r="I101" s="64">
        <f>6.6576 * CHOOSE(CONTROL!$C$22, $C$13, 100%, $E$13)</f>
        <v>6.6576000000000004</v>
      </c>
      <c r="J101" s="64">
        <f>3.9024 * CHOOSE(CONTROL!$C$22, $C$13, 100%, $E$13)</f>
        <v>3.9024000000000001</v>
      </c>
      <c r="K101" s="64">
        <f>3.9025 * CHOOSE(CONTROL!$C$22, $C$13, 100%, $E$13)</f>
        <v>3.9024999999999999</v>
      </c>
      <c r="L101" s="4"/>
      <c r="M101" s="4"/>
      <c r="N101" s="4"/>
    </row>
    <row r="102" spans="1:14" ht="15">
      <c r="A102" s="13">
        <v>44593</v>
      </c>
      <c r="B102" s="63">
        <f>3.312 * CHOOSE(CONTROL!$C$22, $C$13, 100%, $E$13)</f>
        <v>3.3119999999999998</v>
      </c>
      <c r="C102" s="63">
        <f>3.312 * CHOOSE(CONTROL!$C$22, $C$13, 100%, $E$13)</f>
        <v>3.3119999999999998</v>
      </c>
      <c r="D102" s="63">
        <f>3.312 * CHOOSE(CONTROL!$C$22, $C$13, 100%, $E$13)</f>
        <v>3.3119999999999998</v>
      </c>
      <c r="E102" s="64">
        <f>3.8381 * CHOOSE(CONTROL!$C$22, $C$13, 100%, $E$13)</f>
        <v>3.8380999999999998</v>
      </c>
      <c r="F102" s="64">
        <f>3.8381 * CHOOSE(CONTROL!$C$22, $C$13, 100%, $E$13)</f>
        <v>3.8380999999999998</v>
      </c>
      <c r="G102" s="64">
        <f>3.8382 * CHOOSE(CONTROL!$C$22, $C$13, 100%, $E$13)</f>
        <v>3.8382000000000001</v>
      </c>
      <c r="H102" s="64">
        <f>6.6713* CHOOSE(CONTROL!$C$22, $C$13, 100%, $E$13)</f>
        <v>6.6712999999999996</v>
      </c>
      <c r="I102" s="64">
        <f>6.6714 * CHOOSE(CONTROL!$C$22, $C$13, 100%, $E$13)</f>
        <v>6.6714000000000002</v>
      </c>
      <c r="J102" s="64">
        <f>3.8381 * CHOOSE(CONTROL!$C$22, $C$13, 100%, $E$13)</f>
        <v>3.8380999999999998</v>
      </c>
      <c r="K102" s="64">
        <f>3.8382 * CHOOSE(CONTROL!$C$22, $C$13, 100%, $E$13)</f>
        <v>3.8382000000000001</v>
      </c>
      <c r="L102" s="4"/>
      <c r="M102" s="4"/>
      <c r="N102" s="4"/>
    </row>
    <row r="103" spans="1:14" ht="15">
      <c r="A103" s="13">
        <v>44621</v>
      </c>
      <c r="B103" s="63">
        <f>3.309 * CHOOSE(CONTROL!$C$22, $C$13, 100%, $E$13)</f>
        <v>3.3090000000000002</v>
      </c>
      <c r="C103" s="63">
        <f>3.309 * CHOOSE(CONTROL!$C$22, $C$13, 100%, $E$13)</f>
        <v>3.3090000000000002</v>
      </c>
      <c r="D103" s="63">
        <f>3.309 * CHOOSE(CONTROL!$C$22, $C$13, 100%, $E$13)</f>
        <v>3.3090000000000002</v>
      </c>
      <c r="E103" s="64">
        <f>3.885 * CHOOSE(CONTROL!$C$22, $C$13, 100%, $E$13)</f>
        <v>3.8849999999999998</v>
      </c>
      <c r="F103" s="64">
        <f>3.885 * CHOOSE(CONTROL!$C$22, $C$13, 100%, $E$13)</f>
        <v>3.8849999999999998</v>
      </c>
      <c r="G103" s="64">
        <f>3.8851 * CHOOSE(CONTROL!$C$22, $C$13, 100%, $E$13)</f>
        <v>3.8851</v>
      </c>
      <c r="H103" s="64">
        <f>6.6852* CHOOSE(CONTROL!$C$22, $C$13, 100%, $E$13)</f>
        <v>6.6852</v>
      </c>
      <c r="I103" s="64">
        <f>6.6853 * CHOOSE(CONTROL!$C$22, $C$13, 100%, $E$13)</f>
        <v>6.6852999999999998</v>
      </c>
      <c r="J103" s="64">
        <f>3.885 * CHOOSE(CONTROL!$C$22, $C$13, 100%, $E$13)</f>
        <v>3.8849999999999998</v>
      </c>
      <c r="K103" s="64">
        <f>3.8851 * CHOOSE(CONTROL!$C$22, $C$13, 100%, $E$13)</f>
        <v>3.8851</v>
      </c>
      <c r="L103" s="4"/>
      <c r="M103" s="4"/>
      <c r="N103" s="4"/>
    </row>
    <row r="104" spans="1:14" ht="15">
      <c r="A104" s="13">
        <v>44652</v>
      </c>
      <c r="B104" s="63">
        <f>3.3059 * CHOOSE(CONTROL!$C$22, $C$13, 100%, $E$13)</f>
        <v>3.3058999999999998</v>
      </c>
      <c r="C104" s="63">
        <f>3.3059 * CHOOSE(CONTROL!$C$22, $C$13, 100%, $E$13)</f>
        <v>3.3058999999999998</v>
      </c>
      <c r="D104" s="63">
        <f>3.3059 * CHOOSE(CONTROL!$C$22, $C$13, 100%, $E$13)</f>
        <v>3.3058999999999998</v>
      </c>
      <c r="E104" s="64">
        <f>3.9334 * CHOOSE(CONTROL!$C$22, $C$13, 100%, $E$13)</f>
        <v>3.9333999999999998</v>
      </c>
      <c r="F104" s="64">
        <f>3.9334 * CHOOSE(CONTROL!$C$22, $C$13, 100%, $E$13)</f>
        <v>3.9333999999999998</v>
      </c>
      <c r="G104" s="64">
        <f>3.9335 * CHOOSE(CONTROL!$C$22, $C$13, 100%, $E$13)</f>
        <v>3.9335</v>
      </c>
      <c r="H104" s="64">
        <f>6.6992* CHOOSE(CONTROL!$C$22, $C$13, 100%, $E$13)</f>
        <v>6.6992000000000003</v>
      </c>
      <c r="I104" s="64">
        <f>6.6993 * CHOOSE(CONTROL!$C$22, $C$13, 100%, $E$13)</f>
        <v>6.6993</v>
      </c>
      <c r="J104" s="64">
        <f>3.9334 * CHOOSE(CONTROL!$C$22, $C$13, 100%, $E$13)</f>
        <v>3.9333999999999998</v>
      </c>
      <c r="K104" s="64">
        <f>3.9335 * CHOOSE(CONTROL!$C$22, $C$13, 100%, $E$13)</f>
        <v>3.9335</v>
      </c>
      <c r="L104" s="4"/>
      <c r="M104" s="4"/>
      <c r="N104" s="4"/>
    </row>
    <row r="105" spans="1:14" ht="15">
      <c r="A105" s="13">
        <v>44682</v>
      </c>
      <c r="B105" s="63">
        <f>3.3059 * CHOOSE(CONTROL!$C$22, $C$13, 100%, $E$13)</f>
        <v>3.3058999999999998</v>
      </c>
      <c r="C105" s="63">
        <f>3.3059 * CHOOSE(CONTROL!$C$22, $C$13, 100%, $E$13)</f>
        <v>3.3058999999999998</v>
      </c>
      <c r="D105" s="63">
        <f>3.314 * CHOOSE(CONTROL!$C$22, $C$13, 100%, $E$13)</f>
        <v>3.3140000000000001</v>
      </c>
      <c r="E105" s="64">
        <f>3.9531 * CHOOSE(CONTROL!$C$22, $C$13, 100%, $E$13)</f>
        <v>3.9531000000000001</v>
      </c>
      <c r="F105" s="64">
        <f>3.9531 * CHOOSE(CONTROL!$C$22, $C$13, 100%, $E$13)</f>
        <v>3.9531000000000001</v>
      </c>
      <c r="G105" s="64">
        <f>3.963 * CHOOSE(CONTROL!$C$22, $C$13, 100%, $E$13)</f>
        <v>3.9630000000000001</v>
      </c>
      <c r="H105" s="64">
        <f>6.7131* CHOOSE(CONTROL!$C$22, $C$13, 100%, $E$13)</f>
        <v>6.7130999999999998</v>
      </c>
      <c r="I105" s="64">
        <f>6.723 * CHOOSE(CONTROL!$C$22, $C$13, 100%, $E$13)</f>
        <v>6.7229999999999999</v>
      </c>
      <c r="J105" s="64">
        <f>3.9531 * CHOOSE(CONTROL!$C$22, $C$13, 100%, $E$13)</f>
        <v>3.9531000000000001</v>
      </c>
      <c r="K105" s="64">
        <f>3.963 * CHOOSE(CONTROL!$C$22, $C$13, 100%, $E$13)</f>
        <v>3.9630000000000001</v>
      </c>
      <c r="L105" s="4"/>
      <c r="M105" s="4"/>
      <c r="N105" s="4"/>
    </row>
    <row r="106" spans="1:14" ht="15">
      <c r="A106" s="13">
        <v>44713</v>
      </c>
      <c r="B106" s="63">
        <f>3.312 * CHOOSE(CONTROL!$C$22, $C$13, 100%, $E$13)</f>
        <v>3.3119999999999998</v>
      </c>
      <c r="C106" s="63">
        <f>3.312 * CHOOSE(CONTROL!$C$22, $C$13, 100%, $E$13)</f>
        <v>3.3119999999999998</v>
      </c>
      <c r="D106" s="63">
        <f>3.3201 * CHOOSE(CONTROL!$C$22, $C$13, 100%, $E$13)</f>
        <v>3.3201000000000001</v>
      </c>
      <c r="E106" s="64">
        <f>3.9376 * CHOOSE(CONTROL!$C$22, $C$13, 100%, $E$13)</f>
        <v>3.9376000000000002</v>
      </c>
      <c r="F106" s="64">
        <f>3.9376 * CHOOSE(CONTROL!$C$22, $C$13, 100%, $E$13)</f>
        <v>3.9376000000000002</v>
      </c>
      <c r="G106" s="64">
        <f>3.9475 * CHOOSE(CONTROL!$C$22, $C$13, 100%, $E$13)</f>
        <v>3.9474999999999998</v>
      </c>
      <c r="H106" s="64">
        <f>6.7271* CHOOSE(CONTROL!$C$22, $C$13, 100%, $E$13)</f>
        <v>6.7271000000000001</v>
      </c>
      <c r="I106" s="64">
        <f>6.7369 * CHOOSE(CONTROL!$C$22, $C$13, 100%, $E$13)</f>
        <v>6.7369000000000003</v>
      </c>
      <c r="J106" s="64">
        <f>3.9376 * CHOOSE(CONTROL!$C$22, $C$13, 100%, $E$13)</f>
        <v>3.9376000000000002</v>
      </c>
      <c r="K106" s="64">
        <f>3.9475 * CHOOSE(CONTROL!$C$22, $C$13, 100%, $E$13)</f>
        <v>3.9474999999999998</v>
      </c>
      <c r="L106" s="4"/>
      <c r="M106" s="4"/>
      <c r="N106" s="4"/>
    </row>
    <row r="107" spans="1:14" ht="15">
      <c r="A107" s="13">
        <v>44743</v>
      </c>
      <c r="B107" s="63">
        <f>3.3675 * CHOOSE(CONTROL!$C$22, $C$13, 100%, $E$13)</f>
        <v>3.3675000000000002</v>
      </c>
      <c r="C107" s="63">
        <f>3.3675 * CHOOSE(CONTROL!$C$22, $C$13, 100%, $E$13)</f>
        <v>3.3675000000000002</v>
      </c>
      <c r="D107" s="63">
        <f>3.3756 * CHOOSE(CONTROL!$C$22, $C$13, 100%, $E$13)</f>
        <v>3.3755999999999999</v>
      </c>
      <c r="E107" s="64">
        <f>4.0252 * CHOOSE(CONTROL!$C$22, $C$13, 100%, $E$13)</f>
        <v>4.0251999999999999</v>
      </c>
      <c r="F107" s="64">
        <f>4.0252 * CHOOSE(CONTROL!$C$22, $C$13, 100%, $E$13)</f>
        <v>4.0251999999999999</v>
      </c>
      <c r="G107" s="64">
        <f>4.035 * CHOOSE(CONTROL!$C$22, $C$13, 100%, $E$13)</f>
        <v>4.0350000000000001</v>
      </c>
      <c r="H107" s="64">
        <f>6.7411* CHOOSE(CONTROL!$C$22, $C$13, 100%, $E$13)</f>
        <v>6.7411000000000003</v>
      </c>
      <c r="I107" s="64">
        <f>6.751 * CHOOSE(CONTROL!$C$22, $C$13, 100%, $E$13)</f>
        <v>6.7510000000000003</v>
      </c>
      <c r="J107" s="64">
        <f>4.0252 * CHOOSE(CONTROL!$C$22, $C$13, 100%, $E$13)</f>
        <v>4.0251999999999999</v>
      </c>
      <c r="K107" s="64">
        <f>4.035 * CHOOSE(CONTROL!$C$22, $C$13, 100%, $E$13)</f>
        <v>4.0350000000000001</v>
      </c>
      <c r="L107" s="4"/>
      <c r="M107" s="4"/>
      <c r="N107" s="4"/>
    </row>
    <row r="108" spans="1:14" ht="15">
      <c r="A108" s="13">
        <v>44774</v>
      </c>
      <c r="B108" s="63">
        <f>3.3742 * CHOOSE(CONTROL!$C$22, $C$13, 100%, $E$13)</f>
        <v>3.3742000000000001</v>
      </c>
      <c r="C108" s="63">
        <f>3.3742 * CHOOSE(CONTROL!$C$22, $C$13, 100%, $E$13)</f>
        <v>3.3742000000000001</v>
      </c>
      <c r="D108" s="63">
        <f>3.3823 * CHOOSE(CONTROL!$C$22, $C$13, 100%, $E$13)</f>
        <v>3.3822999999999999</v>
      </c>
      <c r="E108" s="64">
        <f>3.9706 * CHOOSE(CONTROL!$C$22, $C$13, 100%, $E$13)</f>
        <v>3.9706000000000001</v>
      </c>
      <c r="F108" s="64">
        <f>3.9706 * CHOOSE(CONTROL!$C$22, $C$13, 100%, $E$13)</f>
        <v>3.9706000000000001</v>
      </c>
      <c r="G108" s="64">
        <f>3.9805 * CHOOSE(CONTROL!$C$22, $C$13, 100%, $E$13)</f>
        <v>3.9805000000000001</v>
      </c>
      <c r="H108" s="64">
        <f>6.7552* CHOOSE(CONTROL!$C$22, $C$13, 100%, $E$13)</f>
        <v>6.7552000000000003</v>
      </c>
      <c r="I108" s="64">
        <f>6.765 * CHOOSE(CONTROL!$C$22, $C$13, 100%, $E$13)</f>
        <v>6.7649999999999997</v>
      </c>
      <c r="J108" s="64">
        <f>3.9706 * CHOOSE(CONTROL!$C$22, $C$13, 100%, $E$13)</f>
        <v>3.9706000000000001</v>
      </c>
      <c r="K108" s="64">
        <f>3.9805 * CHOOSE(CONTROL!$C$22, $C$13, 100%, $E$13)</f>
        <v>3.9805000000000001</v>
      </c>
      <c r="L108" s="4"/>
      <c r="M108" s="4"/>
      <c r="N108" s="4"/>
    </row>
    <row r="109" spans="1:14" ht="15">
      <c r="A109" s="13">
        <v>44805</v>
      </c>
      <c r="B109" s="63">
        <f>3.3711 * CHOOSE(CONTROL!$C$22, $C$13, 100%, $E$13)</f>
        <v>3.3711000000000002</v>
      </c>
      <c r="C109" s="63">
        <f>3.3711 * CHOOSE(CONTROL!$C$22, $C$13, 100%, $E$13)</f>
        <v>3.3711000000000002</v>
      </c>
      <c r="D109" s="63">
        <f>3.3792 * CHOOSE(CONTROL!$C$22, $C$13, 100%, $E$13)</f>
        <v>3.3792</v>
      </c>
      <c r="E109" s="64">
        <f>3.9619 * CHOOSE(CONTROL!$C$22, $C$13, 100%, $E$13)</f>
        <v>3.9619</v>
      </c>
      <c r="F109" s="64">
        <f>3.9619 * CHOOSE(CONTROL!$C$22, $C$13, 100%, $E$13)</f>
        <v>3.9619</v>
      </c>
      <c r="G109" s="64">
        <f>3.9718 * CHOOSE(CONTROL!$C$22, $C$13, 100%, $E$13)</f>
        <v>3.9718</v>
      </c>
      <c r="H109" s="64">
        <f>6.7692* CHOOSE(CONTROL!$C$22, $C$13, 100%, $E$13)</f>
        <v>6.7691999999999997</v>
      </c>
      <c r="I109" s="64">
        <f>6.7791 * CHOOSE(CONTROL!$C$22, $C$13, 100%, $E$13)</f>
        <v>6.7790999999999997</v>
      </c>
      <c r="J109" s="64">
        <f>3.9619 * CHOOSE(CONTROL!$C$22, $C$13, 100%, $E$13)</f>
        <v>3.9619</v>
      </c>
      <c r="K109" s="64">
        <f>3.9718 * CHOOSE(CONTROL!$C$22, $C$13, 100%, $E$13)</f>
        <v>3.9718</v>
      </c>
      <c r="L109" s="4"/>
      <c r="M109" s="4"/>
      <c r="N109" s="4"/>
    </row>
    <row r="110" spans="1:14" ht="15">
      <c r="A110" s="13">
        <v>44835</v>
      </c>
      <c r="B110" s="63">
        <f>3.3637 * CHOOSE(CONTROL!$C$22, $C$13, 100%, $E$13)</f>
        <v>3.3637000000000001</v>
      </c>
      <c r="C110" s="63">
        <f>3.3637 * CHOOSE(CONTROL!$C$22, $C$13, 100%, $E$13)</f>
        <v>3.3637000000000001</v>
      </c>
      <c r="D110" s="63">
        <f>3.3637 * CHOOSE(CONTROL!$C$22, $C$13, 100%, $E$13)</f>
        <v>3.3637000000000001</v>
      </c>
      <c r="E110" s="64">
        <f>3.9748 * CHOOSE(CONTROL!$C$22, $C$13, 100%, $E$13)</f>
        <v>3.9748000000000001</v>
      </c>
      <c r="F110" s="64">
        <f>3.9748 * CHOOSE(CONTROL!$C$22, $C$13, 100%, $E$13)</f>
        <v>3.9748000000000001</v>
      </c>
      <c r="G110" s="64">
        <f>3.9749 * CHOOSE(CONTROL!$C$22, $C$13, 100%, $E$13)</f>
        <v>3.9748999999999999</v>
      </c>
      <c r="H110" s="64">
        <f>6.7834* CHOOSE(CONTROL!$C$22, $C$13, 100%, $E$13)</f>
        <v>6.7834000000000003</v>
      </c>
      <c r="I110" s="64">
        <f>6.7834 * CHOOSE(CONTROL!$C$22, $C$13, 100%, $E$13)</f>
        <v>6.7834000000000003</v>
      </c>
      <c r="J110" s="64">
        <f>3.9748 * CHOOSE(CONTROL!$C$22, $C$13, 100%, $E$13)</f>
        <v>3.9748000000000001</v>
      </c>
      <c r="K110" s="64">
        <f>3.9749 * CHOOSE(CONTROL!$C$22, $C$13, 100%, $E$13)</f>
        <v>3.9748999999999999</v>
      </c>
      <c r="L110" s="4"/>
      <c r="M110" s="4"/>
      <c r="N110" s="4"/>
    </row>
    <row r="111" spans="1:14" ht="15">
      <c r="A111" s="13">
        <v>44866</v>
      </c>
      <c r="B111" s="63">
        <f>3.3667 * CHOOSE(CONTROL!$C$22, $C$13, 100%, $E$13)</f>
        <v>3.3666999999999998</v>
      </c>
      <c r="C111" s="63">
        <f>3.3667 * CHOOSE(CONTROL!$C$22, $C$13, 100%, $E$13)</f>
        <v>3.3666999999999998</v>
      </c>
      <c r="D111" s="63">
        <f>3.3667 * CHOOSE(CONTROL!$C$22, $C$13, 100%, $E$13)</f>
        <v>3.3666999999999998</v>
      </c>
      <c r="E111" s="64">
        <f>3.9901 * CHOOSE(CONTROL!$C$22, $C$13, 100%, $E$13)</f>
        <v>3.9901</v>
      </c>
      <c r="F111" s="64">
        <f>3.9901 * CHOOSE(CONTROL!$C$22, $C$13, 100%, $E$13)</f>
        <v>3.9901</v>
      </c>
      <c r="G111" s="64">
        <f>3.9902 * CHOOSE(CONTROL!$C$22, $C$13, 100%, $E$13)</f>
        <v>3.9902000000000002</v>
      </c>
      <c r="H111" s="64">
        <f>6.7975* CHOOSE(CONTROL!$C$22, $C$13, 100%, $E$13)</f>
        <v>6.7975000000000003</v>
      </c>
      <c r="I111" s="64">
        <f>6.7976 * CHOOSE(CONTROL!$C$22, $C$13, 100%, $E$13)</f>
        <v>6.7976000000000001</v>
      </c>
      <c r="J111" s="64">
        <f>3.9901 * CHOOSE(CONTROL!$C$22, $C$13, 100%, $E$13)</f>
        <v>3.9901</v>
      </c>
      <c r="K111" s="64">
        <f>3.9902 * CHOOSE(CONTROL!$C$22, $C$13, 100%, $E$13)</f>
        <v>3.9902000000000002</v>
      </c>
      <c r="L111" s="4"/>
      <c r="M111" s="4"/>
      <c r="N111" s="4"/>
    </row>
    <row r="112" spans="1:14" ht="15">
      <c r="A112" s="13">
        <v>44896</v>
      </c>
      <c r="B112" s="63">
        <f>3.3667 * CHOOSE(CONTROL!$C$22, $C$13, 100%, $E$13)</f>
        <v>3.3666999999999998</v>
      </c>
      <c r="C112" s="63">
        <f>3.3667 * CHOOSE(CONTROL!$C$22, $C$13, 100%, $E$13)</f>
        <v>3.3666999999999998</v>
      </c>
      <c r="D112" s="63">
        <f>3.3667 * CHOOSE(CONTROL!$C$22, $C$13, 100%, $E$13)</f>
        <v>3.3666999999999998</v>
      </c>
      <c r="E112" s="64">
        <f>3.9572 * CHOOSE(CONTROL!$C$22, $C$13, 100%, $E$13)</f>
        <v>3.9571999999999998</v>
      </c>
      <c r="F112" s="64">
        <f>3.9572 * CHOOSE(CONTROL!$C$22, $C$13, 100%, $E$13)</f>
        <v>3.9571999999999998</v>
      </c>
      <c r="G112" s="64">
        <f>3.9573 * CHOOSE(CONTROL!$C$22, $C$13, 100%, $E$13)</f>
        <v>3.9573</v>
      </c>
      <c r="H112" s="64">
        <f>6.8116* CHOOSE(CONTROL!$C$22, $C$13, 100%, $E$13)</f>
        <v>6.8116000000000003</v>
      </c>
      <c r="I112" s="64">
        <f>6.8117 * CHOOSE(CONTROL!$C$22, $C$13, 100%, $E$13)</f>
        <v>6.8117000000000001</v>
      </c>
      <c r="J112" s="64">
        <f>3.9572 * CHOOSE(CONTROL!$C$22, $C$13, 100%, $E$13)</f>
        <v>3.9571999999999998</v>
      </c>
      <c r="K112" s="64">
        <f>3.9573 * CHOOSE(CONTROL!$C$22, $C$13, 100%, $E$13)</f>
        <v>3.9573</v>
      </c>
      <c r="L112" s="4"/>
      <c r="M112" s="4"/>
      <c r="N112" s="4"/>
    </row>
    <row r="113" spans="1:14" ht="15">
      <c r="A113" s="13">
        <v>44927</v>
      </c>
      <c r="B113" s="63">
        <f>3.3924 * CHOOSE(CONTROL!$C$22, $C$13, 100%, $E$13)</f>
        <v>3.3923999999999999</v>
      </c>
      <c r="C113" s="63">
        <f>3.3924 * CHOOSE(CONTROL!$C$22, $C$13, 100%, $E$13)</f>
        <v>3.3923999999999999</v>
      </c>
      <c r="D113" s="63">
        <f>3.3924 * CHOOSE(CONTROL!$C$22, $C$13, 100%, $E$13)</f>
        <v>3.3923999999999999</v>
      </c>
      <c r="E113" s="64">
        <f>4.0337 * CHOOSE(CONTROL!$C$22, $C$13, 100%, $E$13)</f>
        <v>4.0336999999999996</v>
      </c>
      <c r="F113" s="64">
        <f>4.0337 * CHOOSE(CONTROL!$C$22, $C$13, 100%, $E$13)</f>
        <v>4.0336999999999996</v>
      </c>
      <c r="G113" s="64">
        <f>4.0338 * CHOOSE(CONTROL!$C$22, $C$13, 100%, $E$13)</f>
        <v>4.0338000000000003</v>
      </c>
      <c r="H113" s="64">
        <f>6.8258* CHOOSE(CONTROL!$C$22, $C$13, 100%, $E$13)</f>
        <v>6.8258000000000001</v>
      </c>
      <c r="I113" s="64">
        <f>6.8259 * CHOOSE(CONTROL!$C$22, $C$13, 100%, $E$13)</f>
        <v>6.8258999999999999</v>
      </c>
      <c r="J113" s="64">
        <f>4.0337 * CHOOSE(CONTROL!$C$22, $C$13, 100%, $E$13)</f>
        <v>4.0336999999999996</v>
      </c>
      <c r="K113" s="64">
        <f>4.0338 * CHOOSE(CONTROL!$C$22, $C$13, 100%, $E$13)</f>
        <v>4.0338000000000003</v>
      </c>
      <c r="L113" s="4"/>
      <c r="M113" s="4"/>
      <c r="N113" s="4"/>
    </row>
    <row r="114" spans="1:14" ht="15">
      <c r="A114" s="13">
        <v>44958</v>
      </c>
      <c r="B114" s="63">
        <f>3.3894 * CHOOSE(CONTROL!$C$22, $C$13, 100%, $E$13)</f>
        <v>3.3894000000000002</v>
      </c>
      <c r="C114" s="63">
        <f>3.3894 * CHOOSE(CONTROL!$C$22, $C$13, 100%, $E$13)</f>
        <v>3.3894000000000002</v>
      </c>
      <c r="D114" s="63">
        <f>3.3894 * CHOOSE(CONTROL!$C$22, $C$13, 100%, $E$13)</f>
        <v>3.3894000000000002</v>
      </c>
      <c r="E114" s="64">
        <f>3.9661 * CHOOSE(CONTROL!$C$22, $C$13, 100%, $E$13)</f>
        <v>3.9661</v>
      </c>
      <c r="F114" s="64">
        <f>3.9661 * CHOOSE(CONTROL!$C$22, $C$13, 100%, $E$13)</f>
        <v>3.9661</v>
      </c>
      <c r="G114" s="64">
        <f>3.9662 * CHOOSE(CONTROL!$C$22, $C$13, 100%, $E$13)</f>
        <v>3.9662000000000002</v>
      </c>
      <c r="H114" s="64">
        <f>6.8401* CHOOSE(CONTROL!$C$22, $C$13, 100%, $E$13)</f>
        <v>6.8400999999999996</v>
      </c>
      <c r="I114" s="64">
        <f>6.8401 * CHOOSE(CONTROL!$C$22, $C$13, 100%, $E$13)</f>
        <v>6.8400999999999996</v>
      </c>
      <c r="J114" s="64">
        <f>3.9661 * CHOOSE(CONTROL!$C$22, $C$13, 100%, $E$13)</f>
        <v>3.9661</v>
      </c>
      <c r="K114" s="64">
        <f>3.9662 * CHOOSE(CONTROL!$C$22, $C$13, 100%, $E$13)</f>
        <v>3.9662000000000002</v>
      </c>
      <c r="L114" s="4"/>
      <c r="M114" s="4"/>
      <c r="N114" s="4"/>
    </row>
    <row r="115" spans="1:14" ht="15">
      <c r="A115" s="13">
        <v>44986</v>
      </c>
      <c r="B115" s="63">
        <f>3.3863 * CHOOSE(CONTROL!$C$22, $C$13, 100%, $E$13)</f>
        <v>3.3862999999999999</v>
      </c>
      <c r="C115" s="63">
        <f>3.3863 * CHOOSE(CONTROL!$C$22, $C$13, 100%, $E$13)</f>
        <v>3.3862999999999999</v>
      </c>
      <c r="D115" s="63">
        <f>3.3863 * CHOOSE(CONTROL!$C$22, $C$13, 100%, $E$13)</f>
        <v>3.3862999999999999</v>
      </c>
      <c r="E115" s="64">
        <f>4.0156 * CHOOSE(CONTROL!$C$22, $C$13, 100%, $E$13)</f>
        <v>4.0156000000000001</v>
      </c>
      <c r="F115" s="64">
        <f>4.0156 * CHOOSE(CONTROL!$C$22, $C$13, 100%, $E$13)</f>
        <v>4.0156000000000001</v>
      </c>
      <c r="G115" s="64">
        <f>4.0157 * CHOOSE(CONTROL!$C$22, $C$13, 100%, $E$13)</f>
        <v>4.0156999999999998</v>
      </c>
      <c r="H115" s="64">
        <f>6.8543* CHOOSE(CONTROL!$C$22, $C$13, 100%, $E$13)</f>
        <v>6.8543000000000003</v>
      </c>
      <c r="I115" s="64">
        <f>6.8544 * CHOOSE(CONTROL!$C$22, $C$13, 100%, $E$13)</f>
        <v>6.8544</v>
      </c>
      <c r="J115" s="64">
        <f>4.0156 * CHOOSE(CONTROL!$C$22, $C$13, 100%, $E$13)</f>
        <v>4.0156000000000001</v>
      </c>
      <c r="K115" s="64">
        <f>4.0157 * CHOOSE(CONTROL!$C$22, $C$13, 100%, $E$13)</f>
        <v>4.0156999999999998</v>
      </c>
      <c r="L115" s="4"/>
      <c r="M115" s="4"/>
      <c r="N115" s="4"/>
    </row>
    <row r="116" spans="1:14" ht="15">
      <c r="A116" s="13">
        <v>45017</v>
      </c>
      <c r="B116" s="63">
        <f>3.3833 * CHOOSE(CONTROL!$C$22, $C$13, 100%, $E$13)</f>
        <v>3.3833000000000002</v>
      </c>
      <c r="C116" s="63">
        <f>3.3833 * CHOOSE(CONTROL!$C$22, $C$13, 100%, $E$13)</f>
        <v>3.3833000000000002</v>
      </c>
      <c r="D116" s="63">
        <f>3.3833 * CHOOSE(CONTROL!$C$22, $C$13, 100%, $E$13)</f>
        <v>3.3833000000000002</v>
      </c>
      <c r="E116" s="64">
        <f>4.0669 * CHOOSE(CONTROL!$C$22, $C$13, 100%, $E$13)</f>
        <v>4.0669000000000004</v>
      </c>
      <c r="F116" s="64">
        <f>4.0669 * CHOOSE(CONTROL!$C$22, $C$13, 100%, $E$13)</f>
        <v>4.0669000000000004</v>
      </c>
      <c r="G116" s="64">
        <f>4.067 * CHOOSE(CONTROL!$C$22, $C$13, 100%, $E$13)</f>
        <v>4.0670000000000002</v>
      </c>
      <c r="H116" s="64">
        <f>6.8686* CHOOSE(CONTROL!$C$22, $C$13, 100%, $E$13)</f>
        <v>6.8685999999999998</v>
      </c>
      <c r="I116" s="64">
        <f>6.8687 * CHOOSE(CONTROL!$C$22, $C$13, 100%, $E$13)</f>
        <v>6.8686999999999996</v>
      </c>
      <c r="J116" s="64">
        <f>4.0669 * CHOOSE(CONTROL!$C$22, $C$13, 100%, $E$13)</f>
        <v>4.0669000000000004</v>
      </c>
      <c r="K116" s="64">
        <f>4.067 * CHOOSE(CONTROL!$C$22, $C$13, 100%, $E$13)</f>
        <v>4.0670000000000002</v>
      </c>
      <c r="L116" s="4"/>
      <c r="M116" s="4"/>
      <c r="N116" s="4"/>
    </row>
    <row r="117" spans="1:14" ht="15">
      <c r="A117" s="13">
        <v>45047</v>
      </c>
      <c r="B117" s="63">
        <f>3.3833 * CHOOSE(CONTROL!$C$22, $C$13, 100%, $E$13)</f>
        <v>3.3833000000000002</v>
      </c>
      <c r="C117" s="63">
        <f>3.3833 * CHOOSE(CONTROL!$C$22, $C$13, 100%, $E$13)</f>
        <v>3.3833000000000002</v>
      </c>
      <c r="D117" s="63">
        <f>3.3914 * CHOOSE(CONTROL!$C$22, $C$13, 100%, $E$13)</f>
        <v>3.3914</v>
      </c>
      <c r="E117" s="64">
        <f>4.0877 * CHOOSE(CONTROL!$C$22, $C$13, 100%, $E$13)</f>
        <v>4.0876999999999999</v>
      </c>
      <c r="F117" s="64">
        <f>4.0877 * CHOOSE(CONTROL!$C$22, $C$13, 100%, $E$13)</f>
        <v>4.0876999999999999</v>
      </c>
      <c r="G117" s="64">
        <f>4.0975 * CHOOSE(CONTROL!$C$22, $C$13, 100%, $E$13)</f>
        <v>4.0975000000000001</v>
      </c>
      <c r="H117" s="64">
        <f>6.8829* CHOOSE(CONTROL!$C$22, $C$13, 100%, $E$13)</f>
        <v>6.8829000000000002</v>
      </c>
      <c r="I117" s="64">
        <f>6.8927 * CHOOSE(CONTROL!$C$22, $C$13, 100%, $E$13)</f>
        <v>6.8926999999999996</v>
      </c>
      <c r="J117" s="64">
        <f>4.0877 * CHOOSE(CONTROL!$C$22, $C$13, 100%, $E$13)</f>
        <v>4.0876999999999999</v>
      </c>
      <c r="K117" s="64">
        <f>4.0975 * CHOOSE(CONTROL!$C$22, $C$13, 100%, $E$13)</f>
        <v>4.0975000000000001</v>
      </c>
      <c r="L117" s="4"/>
      <c r="M117" s="4"/>
      <c r="N117" s="4"/>
    </row>
    <row r="118" spans="1:14" ht="15">
      <c r="A118" s="13">
        <v>45078</v>
      </c>
      <c r="B118" s="63">
        <f>3.3894 * CHOOSE(CONTROL!$C$22, $C$13, 100%, $E$13)</f>
        <v>3.3894000000000002</v>
      </c>
      <c r="C118" s="63">
        <f>3.3894 * CHOOSE(CONTROL!$C$22, $C$13, 100%, $E$13)</f>
        <v>3.3894000000000002</v>
      </c>
      <c r="D118" s="63">
        <f>3.3975 * CHOOSE(CONTROL!$C$22, $C$13, 100%, $E$13)</f>
        <v>3.3975</v>
      </c>
      <c r="E118" s="64">
        <f>4.0711 * CHOOSE(CONTROL!$C$22, $C$13, 100%, $E$13)</f>
        <v>4.0711000000000004</v>
      </c>
      <c r="F118" s="64">
        <f>4.0711 * CHOOSE(CONTROL!$C$22, $C$13, 100%, $E$13)</f>
        <v>4.0711000000000004</v>
      </c>
      <c r="G118" s="64">
        <f>4.0809 * CHOOSE(CONTROL!$C$22, $C$13, 100%, $E$13)</f>
        <v>4.0808999999999997</v>
      </c>
      <c r="H118" s="64">
        <f>6.8972* CHOOSE(CONTROL!$C$22, $C$13, 100%, $E$13)</f>
        <v>6.8971999999999998</v>
      </c>
      <c r="I118" s="64">
        <f>6.9071 * CHOOSE(CONTROL!$C$22, $C$13, 100%, $E$13)</f>
        <v>6.9070999999999998</v>
      </c>
      <c r="J118" s="64">
        <f>4.0711 * CHOOSE(CONTROL!$C$22, $C$13, 100%, $E$13)</f>
        <v>4.0711000000000004</v>
      </c>
      <c r="K118" s="64">
        <f>4.0809 * CHOOSE(CONTROL!$C$22, $C$13, 100%, $E$13)</f>
        <v>4.0808999999999997</v>
      </c>
      <c r="L118" s="4"/>
      <c r="M118" s="4"/>
      <c r="N118" s="4"/>
    </row>
    <row r="119" spans="1:14" ht="15">
      <c r="A119" s="13">
        <v>45108</v>
      </c>
      <c r="B119" s="63">
        <f>3.4356 * CHOOSE(CONTROL!$C$22, $C$13, 100%, $E$13)</f>
        <v>3.4356</v>
      </c>
      <c r="C119" s="63">
        <f>3.4356 * CHOOSE(CONTROL!$C$22, $C$13, 100%, $E$13)</f>
        <v>3.4356</v>
      </c>
      <c r="D119" s="63">
        <f>3.4438 * CHOOSE(CONTROL!$C$22, $C$13, 100%, $E$13)</f>
        <v>3.4438</v>
      </c>
      <c r="E119" s="64">
        <f>4.1492 * CHOOSE(CONTROL!$C$22, $C$13, 100%, $E$13)</f>
        <v>4.1492000000000004</v>
      </c>
      <c r="F119" s="64">
        <f>4.1492 * CHOOSE(CONTROL!$C$22, $C$13, 100%, $E$13)</f>
        <v>4.1492000000000004</v>
      </c>
      <c r="G119" s="64">
        <f>4.1591 * CHOOSE(CONTROL!$C$22, $C$13, 100%, $E$13)</f>
        <v>4.1590999999999996</v>
      </c>
      <c r="H119" s="64">
        <f>6.9116* CHOOSE(CONTROL!$C$22, $C$13, 100%, $E$13)</f>
        <v>6.9116</v>
      </c>
      <c r="I119" s="64">
        <f>6.9214 * CHOOSE(CONTROL!$C$22, $C$13, 100%, $E$13)</f>
        <v>6.9214000000000002</v>
      </c>
      <c r="J119" s="64">
        <f>4.1492 * CHOOSE(CONTROL!$C$22, $C$13, 100%, $E$13)</f>
        <v>4.1492000000000004</v>
      </c>
      <c r="K119" s="64">
        <f>4.1591 * CHOOSE(CONTROL!$C$22, $C$13, 100%, $E$13)</f>
        <v>4.1590999999999996</v>
      </c>
      <c r="L119" s="4"/>
      <c r="M119" s="4"/>
      <c r="N119" s="4"/>
    </row>
    <row r="120" spans="1:14" ht="15">
      <c r="A120" s="13">
        <v>45139</v>
      </c>
      <c r="B120" s="63">
        <f>3.4423 * CHOOSE(CONTROL!$C$22, $C$13, 100%, $E$13)</f>
        <v>3.4422999999999999</v>
      </c>
      <c r="C120" s="63">
        <f>3.4423 * CHOOSE(CONTROL!$C$22, $C$13, 100%, $E$13)</f>
        <v>3.4422999999999999</v>
      </c>
      <c r="D120" s="63">
        <f>3.4504 * CHOOSE(CONTROL!$C$22, $C$13, 100%, $E$13)</f>
        <v>3.4504000000000001</v>
      </c>
      <c r="E120" s="64">
        <f>4.0915 * CHOOSE(CONTROL!$C$22, $C$13, 100%, $E$13)</f>
        <v>4.0914999999999999</v>
      </c>
      <c r="F120" s="64">
        <f>4.0915 * CHOOSE(CONTROL!$C$22, $C$13, 100%, $E$13)</f>
        <v>4.0914999999999999</v>
      </c>
      <c r="G120" s="64">
        <f>4.1013 * CHOOSE(CONTROL!$C$22, $C$13, 100%, $E$13)</f>
        <v>4.1013000000000002</v>
      </c>
      <c r="H120" s="64">
        <f>6.926* CHOOSE(CONTROL!$C$22, $C$13, 100%, $E$13)</f>
        <v>6.9260000000000002</v>
      </c>
      <c r="I120" s="64">
        <f>6.9358 * CHOOSE(CONTROL!$C$22, $C$13, 100%, $E$13)</f>
        <v>6.9358000000000004</v>
      </c>
      <c r="J120" s="64">
        <f>4.0915 * CHOOSE(CONTROL!$C$22, $C$13, 100%, $E$13)</f>
        <v>4.0914999999999999</v>
      </c>
      <c r="K120" s="64">
        <f>4.1013 * CHOOSE(CONTROL!$C$22, $C$13, 100%, $E$13)</f>
        <v>4.1013000000000002</v>
      </c>
      <c r="L120" s="4"/>
      <c r="M120" s="4"/>
      <c r="N120" s="4"/>
    </row>
    <row r="121" spans="1:14" ht="15">
      <c r="A121" s="13">
        <v>45170</v>
      </c>
      <c r="B121" s="63">
        <f>3.4393 * CHOOSE(CONTROL!$C$22, $C$13, 100%, $E$13)</f>
        <v>3.4392999999999998</v>
      </c>
      <c r="C121" s="63">
        <f>3.4393 * CHOOSE(CONTROL!$C$22, $C$13, 100%, $E$13)</f>
        <v>3.4392999999999998</v>
      </c>
      <c r="D121" s="63">
        <f>3.4474 * CHOOSE(CONTROL!$C$22, $C$13, 100%, $E$13)</f>
        <v>3.4474</v>
      </c>
      <c r="E121" s="64">
        <f>4.0824 * CHOOSE(CONTROL!$C$22, $C$13, 100%, $E$13)</f>
        <v>4.0823999999999998</v>
      </c>
      <c r="F121" s="64">
        <f>4.0824 * CHOOSE(CONTROL!$C$22, $C$13, 100%, $E$13)</f>
        <v>4.0823999999999998</v>
      </c>
      <c r="G121" s="64">
        <f>4.0923 * CHOOSE(CONTROL!$C$22, $C$13, 100%, $E$13)</f>
        <v>4.0922999999999998</v>
      </c>
      <c r="H121" s="64">
        <f>6.9404* CHOOSE(CONTROL!$C$22, $C$13, 100%, $E$13)</f>
        <v>6.9404000000000003</v>
      </c>
      <c r="I121" s="64">
        <f>6.9503 * CHOOSE(CONTROL!$C$22, $C$13, 100%, $E$13)</f>
        <v>6.9503000000000004</v>
      </c>
      <c r="J121" s="64">
        <f>4.0824 * CHOOSE(CONTROL!$C$22, $C$13, 100%, $E$13)</f>
        <v>4.0823999999999998</v>
      </c>
      <c r="K121" s="64">
        <f>4.0923 * CHOOSE(CONTROL!$C$22, $C$13, 100%, $E$13)</f>
        <v>4.0922999999999998</v>
      </c>
      <c r="L121" s="4"/>
      <c r="M121" s="4"/>
      <c r="N121" s="4"/>
    </row>
    <row r="122" spans="1:14" ht="15">
      <c r="A122" s="13">
        <v>45200</v>
      </c>
      <c r="B122" s="63">
        <f>3.4321 * CHOOSE(CONTROL!$C$22, $C$13, 100%, $E$13)</f>
        <v>3.4321000000000002</v>
      </c>
      <c r="C122" s="63">
        <f>3.4321 * CHOOSE(CONTROL!$C$22, $C$13, 100%, $E$13)</f>
        <v>3.4321000000000002</v>
      </c>
      <c r="D122" s="63">
        <f>3.4321 * CHOOSE(CONTROL!$C$22, $C$13, 100%, $E$13)</f>
        <v>3.4321000000000002</v>
      </c>
      <c r="E122" s="64">
        <f>4.0968 * CHOOSE(CONTROL!$C$22, $C$13, 100%, $E$13)</f>
        <v>4.0968</v>
      </c>
      <c r="F122" s="64">
        <f>4.0968 * CHOOSE(CONTROL!$C$22, $C$13, 100%, $E$13)</f>
        <v>4.0968</v>
      </c>
      <c r="G122" s="64">
        <f>4.0968 * CHOOSE(CONTROL!$C$22, $C$13, 100%, $E$13)</f>
        <v>4.0968</v>
      </c>
      <c r="H122" s="64">
        <f>6.9549* CHOOSE(CONTROL!$C$22, $C$13, 100%, $E$13)</f>
        <v>6.9549000000000003</v>
      </c>
      <c r="I122" s="64">
        <f>6.955 * CHOOSE(CONTROL!$C$22, $C$13, 100%, $E$13)</f>
        <v>6.9550000000000001</v>
      </c>
      <c r="J122" s="64">
        <f>4.0968 * CHOOSE(CONTROL!$C$22, $C$13, 100%, $E$13)</f>
        <v>4.0968</v>
      </c>
      <c r="K122" s="64">
        <f>4.0968 * CHOOSE(CONTROL!$C$22, $C$13, 100%, $E$13)</f>
        <v>4.0968</v>
      </c>
      <c r="L122" s="4"/>
      <c r="M122" s="4"/>
      <c r="N122" s="4"/>
    </row>
    <row r="123" spans="1:14" ht="15">
      <c r="A123" s="13">
        <v>45231</v>
      </c>
      <c r="B123" s="63">
        <f>3.4352 * CHOOSE(CONTROL!$C$22, $C$13, 100%, $E$13)</f>
        <v>3.4352</v>
      </c>
      <c r="C123" s="63">
        <f>3.4352 * CHOOSE(CONTROL!$C$22, $C$13, 100%, $E$13)</f>
        <v>3.4352</v>
      </c>
      <c r="D123" s="63">
        <f>3.4352 * CHOOSE(CONTROL!$C$22, $C$13, 100%, $E$13)</f>
        <v>3.4352</v>
      </c>
      <c r="E123" s="64">
        <f>4.1127 * CHOOSE(CONTROL!$C$22, $C$13, 100%, $E$13)</f>
        <v>4.1127000000000002</v>
      </c>
      <c r="F123" s="64">
        <f>4.1127 * CHOOSE(CONTROL!$C$22, $C$13, 100%, $E$13)</f>
        <v>4.1127000000000002</v>
      </c>
      <c r="G123" s="64">
        <f>4.1128 * CHOOSE(CONTROL!$C$22, $C$13, 100%, $E$13)</f>
        <v>4.1128</v>
      </c>
      <c r="H123" s="64">
        <f>6.9694* CHOOSE(CONTROL!$C$22, $C$13, 100%, $E$13)</f>
        <v>6.9694000000000003</v>
      </c>
      <c r="I123" s="64">
        <f>6.9695 * CHOOSE(CONTROL!$C$22, $C$13, 100%, $E$13)</f>
        <v>6.9695</v>
      </c>
      <c r="J123" s="64">
        <f>4.1127 * CHOOSE(CONTROL!$C$22, $C$13, 100%, $E$13)</f>
        <v>4.1127000000000002</v>
      </c>
      <c r="K123" s="64">
        <f>4.1128 * CHOOSE(CONTROL!$C$22, $C$13, 100%, $E$13)</f>
        <v>4.1128</v>
      </c>
      <c r="L123" s="4"/>
      <c r="M123" s="4"/>
      <c r="N123" s="4"/>
    </row>
    <row r="124" spans="1:14" ht="15">
      <c r="A124" s="13">
        <v>45261</v>
      </c>
      <c r="B124" s="63">
        <f>3.4352 * CHOOSE(CONTROL!$C$22, $C$13, 100%, $E$13)</f>
        <v>3.4352</v>
      </c>
      <c r="C124" s="63">
        <f>3.4352 * CHOOSE(CONTROL!$C$22, $C$13, 100%, $E$13)</f>
        <v>3.4352</v>
      </c>
      <c r="D124" s="63">
        <f>3.4352 * CHOOSE(CONTROL!$C$22, $C$13, 100%, $E$13)</f>
        <v>3.4352</v>
      </c>
      <c r="E124" s="64">
        <f>4.0781 * CHOOSE(CONTROL!$C$22, $C$13, 100%, $E$13)</f>
        <v>4.0781000000000001</v>
      </c>
      <c r="F124" s="64">
        <f>4.0781 * CHOOSE(CONTROL!$C$22, $C$13, 100%, $E$13)</f>
        <v>4.0781000000000001</v>
      </c>
      <c r="G124" s="64">
        <f>4.0782 * CHOOSE(CONTROL!$C$22, $C$13, 100%, $E$13)</f>
        <v>4.0781999999999998</v>
      </c>
      <c r="H124" s="64">
        <f>6.9839* CHOOSE(CONTROL!$C$22, $C$13, 100%, $E$13)</f>
        <v>6.9839000000000002</v>
      </c>
      <c r="I124" s="64">
        <f>6.984 * CHOOSE(CONTROL!$C$22, $C$13, 100%, $E$13)</f>
        <v>6.984</v>
      </c>
      <c r="J124" s="64">
        <f>4.0781 * CHOOSE(CONTROL!$C$22, $C$13, 100%, $E$13)</f>
        <v>4.0781000000000001</v>
      </c>
      <c r="K124" s="64">
        <f>4.0782 * CHOOSE(CONTROL!$C$22, $C$13, 100%, $E$13)</f>
        <v>4.0781999999999998</v>
      </c>
      <c r="L124" s="4"/>
      <c r="M124" s="4"/>
      <c r="N124" s="4"/>
    </row>
    <row r="125" spans="1:14" ht="15">
      <c r="A125" s="13">
        <v>45292</v>
      </c>
      <c r="B125" s="63">
        <f>3.4652 * CHOOSE(CONTROL!$C$22, $C$13, 100%, $E$13)</f>
        <v>3.4651999999999998</v>
      </c>
      <c r="C125" s="63">
        <f>3.4652 * CHOOSE(CONTROL!$C$22, $C$13, 100%, $E$13)</f>
        <v>3.4651999999999998</v>
      </c>
      <c r="D125" s="63">
        <f>3.4652 * CHOOSE(CONTROL!$C$22, $C$13, 100%, $E$13)</f>
        <v>3.4651999999999998</v>
      </c>
      <c r="E125" s="64">
        <f>4.1228 * CHOOSE(CONTROL!$C$22, $C$13, 100%, $E$13)</f>
        <v>4.1227999999999998</v>
      </c>
      <c r="F125" s="64">
        <f>4.1228 * CHOOSE(CONTROL!$C$22, $C$13, 100%, $E$13)</f>
        <v>4.1227999999999998</v>
      </c>
      <c r="G125" s="64">
        <f>4.1229 * CHOOSE(CONTROL!$C$22, $C$13, 100%, $E$13)</f>
        <v>4.1228999999999996</v>
      </c>
      <c r="H125" s="64">
        <f>6.9985* CHOOSE(CONTROL!$C$22, $C$13, 100%, $E$13)</f>
        <v>6.9984999999999999</v>
      </c>
      <c r="I125" s="64">
        <f>6.9985 * CHOOSE(CONTROL!$C$22, $C$13, 100%, $E$13)</f>
        <v>6.9984999999999999</v>
      </c>
      <c r="J125" s="64">
        <f>4.1228 * CHOOSE(CONTROL!$C$22, $C$13, 100%, $E$13)</f>
        <v>4.1227999999999998</v>
      </c>
      <c r="K125" s="64">
        <f>4.1229 * CHOOSE(CONTROL!$C$22, $C$13, 100%, $E$13)</f>
        <v>4.1228999999999996</v>
      </c>
      <c r="L125" s="4"/>
      <c r="M125" s="4"/>
      <c r="N125" s="4"/>
    </row>
    <row r="126" spans="1:14" ht="15">
      <c r="A126" s="13">
        <v>45323</v>
      </c>
      <c r="B126" s="63">
        <f>3.4621 * CHOOSE(CONTROL!$C$22, $C$13, 100%, $E$13)</f>
        <v>3.4621</v>
      </c>
      <c r="C126" s="63">
        <f>3.4621 * CHOOSE(CONTROL!$C$22, $C$13, 100%, $E$13)</f>
        <v>3.4621</v>
      </c>
      <c r="D126" s="63">
        <f>3.4621 * CHOOSE(CONTROL!$C$22, $C$13, 100%, $E$13)</f>
        <v>3.4621</v>
      </c>
      <c r="E126" s="64">
        <f>4.0546 * CHOOSE(CONTROL!$C$22, $C$13, 100%, $E$13)</f>
        <v>4.0545999999999998</v>
      </c>
      <c r="F126" s="64">
        <f>4.0546 * CHOOSE(CONTROL!$C$22, $C$13, 100%, $E$13)</f>
        <v>4.0545999999999998</v>
      </c>
      <c r="G126" s="64">
        <f>4.0547 * CHOOSE(CONTROL!$C$22, $C$13, 100%, $E$13)</f>
        <v>4.0547000000000004</v>
      </c>
      <c r="H126" s="64">
        <f>7.013* CHOOSE(CONTROL!$C$22, $C$13, 100%, $E$13)</f>
        <v>7.0129999999999999</v>
      </c>
      <c r="I126" s="64">
        <f>7.0131 * CHOOSE(CONTROL!$C$22, $C$13, 100%, $E$13)</f>
        <v>7.0130999999999997</v>
      </c>
      <c r="J126" s="64">
        <f>4.0546 * CHOOSE(CONTROL!$C$22, $C$13, 100%, $E$13)</f>
        <v>4.0545999999999998</v>
      </c>
      <c r="K126" s="64">
        <f>4.0547 * CHOOSE(CONTROL!$C$22, $C$13, 100%, $E$13)</f>
        <v>4.0547000000000004</v>
      </c>
      <c r="L126" s="4"/>
      <c r="M126" s="4"/>
      <c r="N126" s="4"/>
    </row>
    <row r="127" spans="1:14" ht="15">
      <c r="A127" s="13">
        <v>45352</v>
      </c>
      <c r="B127" s="63">
        <f>3.4591 * CHOOSE(CONTROL!$C$22, $C$13, 100%, $E$13)</f>
        <v>3.4590999999999998</v>
      </c>
      <c r="C127" s="63">
        <f>3.4591 * CHOOSE(CONTROL!$C$22, $C$13, 100%, $E$13)</f>
        <v>3.4590999999999998</v>
      </c>
      <c r="D127" s="63">
        <f>3.4591 * CHOOSE(CONTROL!$C$22, $C$13, 100%, $E$13)</f>
        <v>3.4590999999999998</v>
      </c>
      <c r="E127" s="64">
        <f>4.1046 * CHOOSE(CONTROL!$C$22, $C$13, 100%, $E$13)</f>
        <v>4.1045999999999996</v>
      </c>
      <c r="F127" s="64">
        <f>4.1046 * CHOOSE(CONTROL!$C$22, $C$13, 100%, $E$13)</f>
        <v>4.1045999999999996</v>
      </c>
      <c r="G127" s="64">
        <f>4.1046 * CHOOSE(CONTROL!$C$22, $C$13, 100%, $E$13)</f>
        <v>4.1045999999999996</v>
      </c>
      <c r="H127" s="64">
        <f>7.0276* CHOOSE(CONTROL!$C$22, $C$13, 100%, $E$13)</f>
        <v>7.0275999999999996</v>
      </c>
      <c r="I127" s="64">
        <f>7.0277 * CHOOSE(CONTROL!$C$22, $C$13, 100%, $E$13)</f>
        <v>7.0277000000000003</v>
      </c>
      <c r="J127" s="64">
        <f>4.1046 * CHOOSE(CONTROL!$C$22, $C$13, 100%, $E$13)</f>
        <v>4.1045999999999996</v>
      </c>
      <c r="K127" s="64">
        <f>4.1046 * CHOOSE(CONTROL!$C$22, $C$13, 100%, $E$13)</f>
        <v>4.1045999999999996</v>
      </c>
      <c r="L127" s="4"/>
      <c r="M127" s="4"/>
      <c r="N127" s="4"/>
    </row>
    <row r="128" spans="1:14" ht="15">
      <c r="A128" s="13">
        <v>45383</v>
      </c>
      <c r="B128" s="63">
        <f>3.4562 * CHOOSE(CONTROL!$C$22, $C$13, 100%, $E$13)</f>
        <v>3.4561999999999999</v>
      </c>
      <c r="C128" s="63">
        <f>3.4562 * CHOOSE(CONTROL!$C$22, $C$13, 100%, $E$13)</f>
        <v>3.4561999999999999</v>
      </c>
      <c r="D128" s="63">
        <f>3.4562 * CHOOSE(CONTROL!$C$22, $C$13, 100%, $E$13)</f>
        <v>3.4561999999999999</v>
      </c>
      <c r="E128" s="64">
        <f>4.1563 * CHOOSE(CONTROL!$C$22, $C$13, 100%, $E$13)</f>
        <v>4.1562999999999999</v>
      </c>
      <c r="F128" s="64">
        <f>4.1563 * CHOOSE(CONTROL!$C$22, $C$13, 100%, $E$13)</f>
        <v>4.1562999999999999</v>
      </c>
      <c r="G128" s="64">
        <f>4.1563 * CHOOSE(CONTROL!$C$22, $C$13, 100%, $E$13)</f>
        <v>4.1562999999999999</v>
      </c>
      <c r="H128" s="64">
        <f>7.0423* CHOOSE(CONTROL!$C$22, $C$13, 100%, $E$13)</f>
        <v>7.0423</v>
      </c>
      <c r="I128" s="64">
        <f>7.0424 * CHOOSE(CONTROL!$C$22, $C$13, 100%, $E$13)</f>
        <v>7.0423999999999998</v>
      </c>
      <c r="J128" s="64">
        <f>4.1563 * CHOOSE(CONTROL!$C$22, $C$13, 100%, $E$13)</f>
        <v>4.1562999999999999</v>
      </c>
      <c r="K128" s="64">
        <f>4.1563 * CHOOSE(CONTROL!$C$22, $C$13, 100%, $E$13)</f>
        <v>4.1562999999999999</v>
      </c>
      <c r="L128" s="4"/>
      <c r="M128" s="4"/>
      <c r="N128" s="4"/>
    </row>
    <row r="129" spans="1:14" ht="15">
      <c r="A129" s="13">
        <v>45413</v>
      </c>
      <c r="B129" s="63">
        <f>3.4562 * CHOOSE(CONTROL!$C$22, $C$13, 100%, $E$13)</f>
        <v>3.4561999999999999</v>
      </c>
      <c r="C129" s="63">
        <f>3.4562 * CHOOSE(CONTROL!$C$22, $C$13, 100%, $E$13)</f>
        <v>3.4561999999999999</v>
      </c>
      <c r="D129" s="63">
        <f>3.4643 * CHOOSE(CONTROL!$C$22, $C$13, 100%, $E$13)</f>
        <v>3.4643000000000002</v>
      </c>
      <c r="E129" s="64">
        <f>4.1772 * CHOOSE(CONTROL!$C$22, $C$13, 100%, $E$13)</f>
        <v>4.1772</v>
      </c>
      <c r="F129" s="64">
        <f>4.1772 * CHOOSE(CONTROL!$C$22, $C$13, 100%, $E$13)</f>
        <v>4.1772</v>
      </c>
      <c r="G129" s="64">
        <f>4.1871 * CHOOSE(CONTROL!$C$22, $C$13, 100%, $E$13)</f>
        <v>4.1871</v>
      </c>
      <c r="H129" s="64">
        <f>7.057* CHOOSE(CONTROL!$C$22, $C$13, 100%, $E$13)</f>
        <v>7.0570000000000004</v>
      </c>
      <c r="I129" s="64">
        <f>7.0668 * CHOOSE(CONTROL!$C$22, $C$13, 100%, $E$13)</f>
        <v>7.0667999999999997</v>
      </c>
      <c r="J129" s="64">
        <f>4.1772 * CHOOSE(CONTROL!$C$22, $C$13, 100%, $E$13)</f>
        <v>4.1772</v>
      </c>
      <c r="K129" s="64">
        <f>4.1871 * CHOOSE(CONTROL!$C$22, $C$13, 100%, $E$13)</f>
        <v>4.1871</v>
      </c>
      <c r="L129" s="4"/>
      <c r="M129" s="4"/>
      <c r="N129" s="4"/>
    </row>
    <row r="130" spans="1:14" ht="15">
      <c r="A130" s="13">
        <v>45444</v>
      </c>
      <c r="B130" s="63">
        <f>3.4623 * CHOOSE(CONTROL!$C$22, $C$13, 100%, $E$13)</f>
        <v>3.4622999999999999</v>
      </c>
      <c r="C130" s="63">
        <f>3.4623 * CHOOSE(CONTROL!$C$22, $C$13, 100%, $E$13)</f>
        <v>3.4622999999999999</v>
      </c>
      <c r="D130" s="63">
        <f>3.4704 * CHOOSE(CONTROL!$C$22, $C$13, 100%, $E$13)</f>
        <v>3.4704000000000002</v>
      </c>
      <c r="E130" s="64">
        <f>4.1605 * CHOOSE(CONTROL!$C$22, $C$13, 100%, $E$13)</f>
        <v>4.1604999999999999</v>
      </c>
      <c r="F130" s="64">
        <f>4.1605 * CHOOSE(CONTROL!$C$22, $C$13, 100%, $E$13)</f>
        <v>4.1604999999999999</v>
      </c>
      <c r="G130" s="64">
        <f>4.1703 * CHOOSE(CONTROL!$C$22, $C$13, 100%, $E$13)</f>
        <v>4.1703000000000001</v>
      </c>
      <c r="H130" s="64">
        <f>7.0717* CHOOSE(CONTROL!$C$22, $C$13, 100%, $E$13)</f>
        <v>7.0716999999999999</v>
      </c>
      <c r="I130" s="64">
        <f>7.0815 * CHOOSE(CONTROL!$C$22, $C$13, 100%, $E$13)</f>
        <v>7.0815000000000001</v>
      </c>
      <c r="J130" s="64">
        <f>4.1605 * CHOOSE(CONTROL!$C$22, $C$13, 100%, $E$13)</f>
        <v>4.1604999999999999</v>
      </c>
      <c r="K130" s="64">
        <f>4.1703 * CHOOSE(CONTROL!$C$22, $C$13, 100%, $E$13)</f>
        <v>4.1703000000000001</v>
      </c>
      <c r="L130" s="4"/>
      <c r="M130" s="4"/>
      <c r="N130" s="4"/>
    </row>
    <row r="131" spans="1:14" ht="15">
      <c r="A131" s="13">
        <v>45474</v>
      </c>
      <c r="B131" s="63">
        <f>3.5185 * CHOOSE(CONTROL!$C$22, $C$13, 100%, $E$13)</f>
        <v>3.5185</v>
      </c>
      <c r="C131" s="63">
        <f>3.5185 * CHOOSE(CONTROL!$C$22, $C$13, 100%, $E$13)</f>
        <v>3.5185</v>
      </c>
      <c r="D131" s="63">
        <f>3.5266 * CHOOSE(CONTROL!$C$22, $C$13, 100%, $E$13)</f>
        <v>3.5266000000000002</v>
      </c>
      <c r="E131" s="64">
        <f>4.2301 * CHOOSE(CONTROL!$C$22, $C$13, 100%, $E$13)</f>
        <v>4.2301000000000002</v>
      </c>
      <c r="F131" s="64">
        <f>4.2301 * CHOOSE(CONTROL!$C$22, $C$13, 100%, $E$13)</f>
        <v>4.2301000000000002</v>
      </c>
      <c r="G131" s="64">
        <f>4.2399 * CHOOSE(CONTROL!$C$22, $C$13, 100%, $E$13)</f>
        <v>4.2398999999999996</v>
      </c>
      <c r="H131" s="64">
        <f>7.0864* CHOOSE(CONTROL!$C$22, $C$13, 100%, $E$13)</f>
        <v>7.0864000000000003</v>
      </c>
      <c r="I131" s="64">
        <f>7.0962 * CHOOSE(CONTROL!$C$22, $C$13, 100%, $E$13)</f>
        <v>7.0961999999999996</v>
      </c>
      <c r="J131" s="64">
        <f>4.2301 * CHOOSE(CONTROL!$C$22, $C$13, 100%, $E$13)</f>
        <v>4.2301000000000002</v>
      </c>
      <c r="K131" s="64">
        <f>4.2399 * CHOOSE(CONTROL!$C$22, $C$13, 100%, $E$13)</f>
        <v>4.2398999999999996</v>
      </c>
      <c r="L131" s="4"/>
      <c r="M131" s="4"/>
      <c r="N131" s="4"/>
    </row>
    <row r="132" spans="1:14" ht="15">
      <c r="A132" s="13">
        <v>45505</v>
      </c>
      <c r="B132" s="63">
        <f>3.5251 * CHOOSE(CONTROL!$C$22, $C$13, 100%, $E$13)</f>
        <v>3.5251000000000001</v>
      </c>
      <c r="C132" s="63">
        <f>3.5251 * CHOOSE(CONTROL!$C$22, $C$13, 100%, $E$13)</f>
        <v>3.5251000000000001</v>
      </c>
      <c r="D132" s="63">
        <f>3.5333 * CHOOSE(CONTROL!$C$22, $C$13, 100%, $E$13)</f>
        <v>3.5333000000000001</v>
      </c>
      <c r="E132" s="64">
        <f>4.1718 * CHOOSE(CONTROL!$C$22, $C$13, 100%, $E$13)</f>
        <v>4.1718000000000002</v>
      </c>
      <c r="F132" s="64">
        <f>4.1718 * CHOOSE(CONTROL!$C$22, $C$13, 100%, $E$13)</f>
        <v>4.1718000000000002</v>
      </c>
      <c r="G132" s="64">
        <f>4.1816 * CHOOSE(CONTROL!$C$22, $C$13, 100%, $E$13)</f>
        <v>4.1816000000000004</v>
      </c>
      <c r="H132" s="64">
        <f>7.1012* CHOOSE(CONTROL!$C$22, $C$13, 100%, $E$13)</f>
        <v>7.1012000000000004</v>
      </c>
      <c r="I132" s="64">
        <f>7.111 * CHOOSE(CONTROL!$C$22, $C$13, 100%, $E$13)</f>
        <v>7.1109999999999998</v>
      </c>
      <c r="J132" s="64">
        <f>4.1718 * CHOOSE(CONTROL!$C$22, $C$13, 100%, $E$13)</f>
        <v>4.1718000000000002</v>
      </c>
      <c r="K132" s="64">
        <f>4.1816 * CHOOSE(CONTROL!$C$22, $C$13, 100%, $E$13)</f>
        <v>4.1816000000000004</v>
      </c>
      <c r="L132" s="4"/>
      <c r="M132" s="4"/>
      <c r="N132" s="4"/>
    </row>
    <row r="133" spans="1:14" ht="15">
      <c r="A133" s="13">
        <v>45536</v>
      </c>
      <c r="B133" s="63">
        <f>3.5221 * CHOOSE(CONTROL!$C$22, $C$13, 100%, $E$13)</f>
        <v>3.5221</v>
      </c>
      <c r="C133" s="63">
        <f>3.5221 * CHOOSE(CONTROL!$C$22, $C$13, 100%, $E$13)</f>
        <v>3.5221</v>
      </c>
      <c r="D133" s="63">
        <f>3.5302 * CHOOSE(CONTROL!$C$22, $C$13, 100%, $E$13)</f>
        <v>3.5301999999999998</v>
      </c>
      <c r="E133" s="64">
        <f>4.1627 * CHOOSE(CONTROL!$C$22, $C$13, 100%, $E$13)</f>
        <v>4.1627000000000001</v>
      </c>
      <c r="F133" s="64">
        <f>4.1627 * CHOOSE(CONTROL!$C$22, $C$13, 100%, $E$13)</f>
        <v>4.1627000000000001</v>
      </c>
      <c r="G133" s="64">
        <f>4.1725 * CHOOSE(CONTROL!$C$22, $C$13, 100%, $E$13)</f>
        <v>4.1725000000000003</v>
      </c>
      <c r="H133" s="64">
        <f>7.1159* CHOOSE(CONTROL!$C$22, $C$13, 100%, $E$13)</f>
        <v>7.1158999999999999</v>
      </c>
      <c r="I133" s="64">
        <f>7.1258 * CHOOSE(CONTROL!$C$22, $C$13, 100%, $E$13)</f>
        <v>7.1257999999999999</v>
      </c>
      <c r="J133" s="64">
        <f>4.1627 * CHOOSE(CONTROL!$C$22, $C$13, 100%, $E$13)</f>
        <v>4.1627000000000001</v>
      </c>
      <c r="K133" s="64">
        <f>4.1725 * CHOOSE(CONTROL!$C$22, $C$13, 100%, $E$13)</f>
        <v>4.1725000000000003</v>
      </c>
      <c r="L133" s="4"/>
      <c r="M133" s="4"/>
      <c r="N133" s="4"/>
    </row>
    <row r="134" spans="1:14" ht="15">
      <c r="A134" s="13">
        <v>45566</v>
      </c>
      <c r="B134" s="63">
        <f>3.5152 * CHOOSE(CONTROL!$C$22, $C$13, 100%, $E$13)</f>
        <v>3.5152000000000001</v>
      </c>
      <c r="C134" s="63">
        <f>3.5152 * CHOOSE(CONTROL!$C$22, $C$13, 100%, $E$13)</f>
        <v>3.5152000000000001</v>
      </c>
      <c r="D134" s="63">
        <f>3.5153 * CHOOSE(CONTROL!$C$22, $C$13, 100%, $E$13)</f>
        <v>3.5152999999999999</v>
      </c>
      <c r="E134" s="64">
        <f>4.1773 * CHOOSE(CONTROL!$C$22, $C$13, 100%, $E$13)</f>
        <v>4.1772999999999998</v>
      </c>
      <c r="F134" s="64">
        <f>4.1773 * CHOOSE(CONTROL!$C$22, $C$13, 100%, $E$13)</f>
        <v>4.1772999999999998</v>
      </c>
      <c r="G134" s="64">
        <f>4.1773 * CHOOSE(CONTROL!$C$22, $C$13, 100%, $E$13)</f>
        <v>4.1772999999999998</v>
      </c>
      <c r="H134" s="64">
        <f>7.1308* CHOOSE(CONTROL!$C$22, $C$13, 100%, $E$13)</f>
        <v>7.1307999999999998</v>
      </c>
      <c r="I134" s="64">
        <f>7.1309 * CHOOSE(CONTROL!$C$22, $C$13, 100%, $E$13)</f>
        <v>7.1308999999999996</v>
      </c>
      <c r="J134" s="64">
        <f>4.1773 * CHOOSE(CONTROL!$C$22, $C$13, 100%, $E$13)</f>
        <v>4.1772999999999998</v>
      </c>
      <c r="K134" s="64">
        <f>4.1773 * CHOOSE(CONTROL!$C$22, $C$13, 100%, $E$13)</f>
        <v>4.1772999999999998</v>
      </c>
      <c r="L134" s="4"/>
      <c r="M134" s="4"/>
      <c r="N134" s="4"/>
    </row>
    <row r="135" spans="1:14" ht="15">
      <c r="A135" s="13">
        <v>45597</v>
      </c>
      <c r="B135" s="63">
        <f>3.5183 * CHOOSE(CONTROL!$C$22, $C$13, 100%, $E$13)</f>
        <v>3.5183</v>
      </c>
      <c r="C135" s="63">
        <f>3.5183 * CHOOSE(CONTROL!$C$22, $C$13, 100%, $E$13)</f>
        <v>3.5183</v>
      </c>
      <c r="D135" s="63">
        <f>3.5183 * CHOOSE(CONTROL!$C$22, $C$13, 100%, $E$13)</f>
        <v>3.5183</v>
      </c>
      <c r="E135" s="64">
        <f>4.1934 * CHOOSE(CONTROL!$C$22, $C$13, 100%, $E$13)</f>
        <v>4.1933999999999996</v>
      </c>
      <c r="F135" s="64">
        <f>4.1934 * CHOOSE(CONTROL!$C$22, $C$13, 100%, $E$13)</f>
        <v>4.1933999999999996</v>
      </c>
      <c r="G135" s="64">
        <f>4.1934 * CHOOSE(CONTROL!$C$22, $C$13, 100%, $E$13)</f>
        <v>4.1933999999999996</v>
      </c>
      <c r="H135" s="64">
        <f>7.1456* CHOOSE(CONTROL!$C$22, $C$13, 100%, $E$13)</f>
        <v>7.1456</v>
      </c>
      <c r="I135" s="64">
        <f>7.1457 * CHOOSE(CONTROL!$C$22, $C$13, 100%, $E$13)</f>
        <v>7.1456999999999997</v>
      </c>
      <c r="J135" s="64">
        <f>4.1934 * CHOOSE(CONTROL!$C$22, $C$13, 100%, $E$13)</f>
        <v>4.1933999999999996</v>
      </c>
      <c r="K135" s="64">
        <f>4.1934 * CHOOSE(CONTROL!$C$22, $C$13, 100%, $E$13)</f>
        <v>4.1933999999999996</v>
      </c>
      <c r="L135" s="4"/>
      <c r="M135" s="4"/>
      <c r="N135" s="4"/>
    </row>
    <row r="136" spans="1:14" ht="15">
      <c r="A136" s="13">
        <v>45627</v>
      </c>
      <c r="B136" s="63">
        <f>3.5183 * CHOOSE(CONTROL!$C$22, $C$13, 100%, $E$13)</f>
        <v>3.5183</v>
      </c>
      <c r="C136" s="63">
        <f>3.5183 * CHOOSE(CONTROL!$C$22, $C$13, 100%, $E$13)</f>
        <v>3.5183</v>
      </c>
      <c r="D136" s="63">
        <f>3.5183 * CHOOSE(CONTROL!$C$22, $C$13, 100%, $E$13)</f>
        <v>3.5183</v>
      </c>
      <c r="E136" s="64">
        <f>4.1584 * CHOOSE(CONTROL!$C$22, $C$13, 100%, $E$13)</f>
        <v>4.1584000000000003</v>
      </c>
      <c r="F136" s="64">
        <f>4.1584 * CHOOSE(CONTROL!$C$22, $C$13, 100%, $E$13)</f>
        <v>4.1584000000000003</v>
      </c>
      <c r="G136" s="64">
        <f>4.1585 * CHOOSE(CONTROL!$C$22, $C$13, 100%, $E$13)</f>
        <v>4.1585000000000001</v>
      </c>
      <c r="H136" s="64">
        <f>7.1605* CHOOSE(CONTROL!$C$22, $C$13, 100%, $E$13)</f>
        <v>7.1604999999999999</v>
      </c>
      <c r="I136" s="64">
        <f>7.1606 * CHOOSE(CONTROL!$C$22, $C$13, 100%, $E$13)</f>
        <v>7.1605999999999996</v>
      </c>
      <c r="J136" s="64">
        <f>4.1584 * CHOOSE(CONTROL!$C$22, $C$13, 100%, $E$13)</f>
        <v>4.1584000000000003</v>
      </c>
      <c r="K136" s="64">
        <f>4.1585 * CHOOSE(CONTROL!$C$22, $C$13, 100%, $E$13)</f>
        <v>4.1585000000000001</v>
      </c>
      <c r="L136" s="4"/>
      <c r="M136" s="4"/>
      <c r="N136" s="4"/>
    </row>
    <row r="137" spans="1:14" ht="15">
      <c r="A137" s="13">
        <v>45658</v>
      </c>
      <c r="B137" s="63">
        <f>3.5476 * CHOOSE(CONTROL!$C$22, $C$13, 100%, $E$13)</f>
        <v>3.5476000000000001</v>
      </c>
      <c r="C137" s="63">
        <f>3.5476 * CHOOSE(CONTROL!$C$22, $C$13, 100%, $E$13)</f>
        <v>3.5476000000000001</v>
      </c>
      <c r="D137" s="63">
        <f>3.5476 * CHOOSE(CONTROL!$C$22, $C$13, 100%, $E$13)</f>
        <v>3.5476000000000001</v>
      </c>
      <c r="E137" s="64">
        <f>4.2052 * CHOOSE(CONTROL!$C$22, $C$13, 100%, $E$13)</f>
        <v>4.2051999999999996</v>
      </c>
      <c r="F137" s="64">
        <f>4.2052 * CHOOSE(CONTROL!$C$22, $C$13, 100%, $E$13)</f>
        <v>4.2051999999999996</v>
      </c>
      <c r="G137" s="64">
        <f>4.2053 * CHOOSE(CONTROL!$C$22, $C$13, 100%, $E$13)</f>
        <v>4.2053000000000003</v>
      </c>
      <c r="H137" s="64">
        <f>7.1754* CHOOSE(CONTROL!$C$22, $C$13, 100%, $E$13)</f>
        <v>7.1753999999999998</v>
      </c>
      <c r="I137" s="64">
        <f>7.1755 * CHOOSE(CONTROL!$C$22, $C$13, 100%, $E$13)</f>
        <v>7.1755000000000004</v>
      </c>
      <c r="J137" s="64">
        <f>4.2052 * CHOOSE(CONTROL!$C$22, $C$13, 100%, $E$13)</f>
        <v>4.2051999999999996</v>
      </c>
      <c r="K137" s="64">
        <f>4.2053 * CHOOSE(CONTROL!$C$22, $C$13, 100%, $E$13)</f>
        <v>4.2053000000000003</v>
      </c>
      <c r="L137" s="4"/>
      <c r="M137" s="4"/>
      <c r="N137" s="4"/>
    </row>
    <row r="138" spans="1:14" ht="15">
      <c r="A138" s="13">
        <v>45689</v>
      </c>
      <c r="B138" s="63">
        <f>3.5445 * CHOOSE(CONTROL!$C$22, $C$13, 100%, $E$13)</f>
        <v>3.5445000000000002</v>
      </c>
      <c r="C138" s="63">
        <f>3.5445 * CHOOSE(CONTROL!$C$22, $C$13, 100%, $E$13)</f>
        <v>3.5445000000000002</v>
      </c>
      <c r="D138" s="63">
        <f>3.5445 * CHOOSE(CONTROL!$C$22, $C$13, 100%, $E$13)</f>
        <v>3.5445000000000002</v>
      </c>
      <c r="E138" s="64">
        <f>4.1366 * CHOOSE(CONTROL!$C$22, $C$13, 100%, $E$13)</f>
        <v>4.1365999999999996</v>
      </c>
      <c r="F138" s="64">
        <f>4.1366 * CHOOSE(CONTROL!$C$22, $C$13, 100%, $E$13)</f>
        <v>4.1365999999999996</v>
      </c>
      <c r="G138" s="64">
        <f>4.1366 * CHOOSE(CONTROL!$C$22, $C$13, 100%, $E$13)</f>
        <v>4.1365999999999996</v>
      </c>
      <c r="H138" s="64">
        <f>7.1904* CHOOSE(CONTROL!$C$22, $C$13, 100%, $E$13)</f>
        <v>7.1904000000000003</v>
      </c>
      <c r="I138" s="64">
        <f>7.1905 * CHOOSE(CONTROL!$C$22, $C$13, 100%, $E$13)</f>
        <v>7.1905000000000001</v>
      </c>
      <c r="J138" s="64">
        <f>4.1366 * CHOOSE(CONTROL!$C$22, $C$13, 100%, $E$13)</f>
        <v>4.1365999999999996</v>
      </c>
      <c r="K138" s="64">
        <f>4.1366 * CHOOSE(CONTROL!$C$22, $C$13, 100%, $E$13)</f>
        <v>4.1365999999999996</v>
      </c>
      <c r="L138" s="4"/>
      <c r="M138" s="4"/>
      <c r="N138" s="4"/>
    </row>
    <row r="139" spans="1:14" ht="15">
      <c r="A139" s="13">
        <v>45717</v>
      </c>
      <c r="B139" s="63">
        <f>3.5415 * CHOOSE(CONTROL!$C$22, $C$13, 100%, $E$13)</f>
        <v>3.5415000000000001</v>
      </c>
      <c r="C139" s="63">
        <f>3.5415 * CHOOSE(CONTROL!$C$22, $C$13, 100%, $E$13)</f>
        <v>3.5415000000000001</v>
      </c>
      <c r="D139" s="63">
        <f>3.5415 * CHOOSE(CONTROL!$C$22, $C$13, 100%, $E$13)</f>
        <v>3.5415000000000001</v>
      </c>
      <c r="E139" s="64">
        <f>4.1869 * CHOOSE(CONTROL!$C$22, $C$13, 100%, $E$13)</f>
        <v>4.1868999999999996</v>
      </c>
      <c r="F139" s="64">
        <f>4.1869 * CHOOSE(CONTROL!$C$22, $C$13, 100%, $E$13)</f>
        <v>4.1868999999999996</v>
      </c>
      <c r="G139" s="64">
        <f>4.187 * CHOOSE(CONTROL!$C$22, $C$13, 100%, $E$13)</f>
        <v>4.1870000000000003</v>
      </c>
      <c r="H139" s="64">
        <f>7.2054* CHOOSE(CONTROL!$C$22, $C$13, 100%, $E$13)</f>
        <v>7.2054</v>
      </c>
      <c r="I139" s="64">
        <f>7.2054 * CHOOSE(CONTROL!$C$22, $C$13, 100%, $E$13)</f>
        <v>7.2054</v>
      </c>
      <c r="J139" s="64">
        <f>4.1869 * CHOOSE(CONTROL!$C$22, $C$13, 100%, $E$13)</f>
        <v>4.1868999999999996</v>
      </c>
      <c r="K139" s="64">
        <f>4.187 * CHOOSE(CONTROL!$C$22, $C$13, 100%, $E$13)</f>
        <v>4.1870000000000003</v>
      </c>
      <c r="L139" s="4"/>
      <c r="M139" s="4"/>
      <c r="N139" s="4"/>
    </row>
    <row r="140" spans="1:14" ht="15">
      <c r="A140" s="13">
        <v>45748</v>
      </c>
      <c r="B140" s="63">
        <f>3.5386 * CHOOSE(CONTROL!$C$22, $C$13, 100%, $E$13)</f>
        <v>3.5386000000000002</v>
      </c>
      <c r="C140" s="63">
        <f>3.5386 * CHOOSE(CONTROL!$C$22, $C$13, 100%, $E$13)</f>
        <v>3.5386000000000002</v>
      </c>
      <c r="D140" s="63">
        <f>3.5387 * CHOOSE(CONTROL!$C$22, $C$13, 100%, $E$13)</f>
        <v>3.5387</v>
      </c>
      <c r="E140" s="64">
        <f>4.239 * CHOOSE(CONTROL!$C$22, $C$13, 100%, $E$13)</f>
        <v>4.2389999999999999</v>
      </c>
      <c r="F140" s="64">
        <f>4.239 * CHOOSE(CONTROL!$C$22, $C$13, 100%, $E$13)</f>
        <v>4.2389999999999999</v>
      </c>
      <c r="G140" s="64">
        <f>4.2391 * CHOOSE(CONTROL!$C$22, $C$13, 100%, $E$13)</f>
        <v>4.2390999999999996</v>
      </c>
      <c r="H140" s="64">
        <f>7.2204* CHOOSE(CONTROL!$C$22, $C$13, 100%, $E$13)</f>
        <v>7.2203999999999997</v>
      </c>
      <c r="I140" s="64">
        <f>7.2205 * CHOOSE(CONTROL!$C$22, $C$13, 100%, $E$13)</f>
        <v>7.2205000000000004</v>
      </c>
      <c r="J140" s="64">
        <f>4.239 * CHOOSE(CONTROL!$C$22, $C$13, 100%, $E$13)</f>
        <v>4.2389999999999999</v>
      </c>
      <c r="K140" s="64">
        <f>4.2391 * CHOOSE(CONTROL!$C$22, $C$13, 100%, $E$13)</f>
        <v>4.2390999999999996</v>
      </c>
      <c r="L140" s="4"/>
      <c r="M140" s="4"/>
      <c r="N140" s="4"/>
    </row>
    <row r="141" spans="1:14" ht="15">
      <c r="A141" s="13">
        <v>45778</v>
      </c>
      <c r="B141" s="63">
        <f>3.5386 * CHOOSE(CONTROL!$C$22, $C$13, 100%, $E$13)</f>
        <v>3.5386000000000002</v>
      </c>
      <c r="C141" s="63">
        <f>3.5386 * CHOOSE(CONTROL!$C$22, $C$13, 100%, $E$13)</f>
        <v>3.5386000000000002</v>
      </c>
      <c r="D141" s="63">
        <f>3.5468 * CHOOSE(CONTROL!$C$22, $C$13, 100%, $E$13)</f>
        <v>3.5468000000000002</v>
      </c>
      <c r="E141" s="64">
        <f>4.2602 * CHOOSE(CONTROL!$C$22, $C$13, 100%, $E$13)</f>
        <v>4.2602000000000002</v>
      </c>
      <c r="F141" s="64">
        <f>4.2602 * CHOOSE(CONTROL!$C$22, $C$13, 100%, $E$13)</f>
        <v>4.2602000000000002</v>
      </c>
      <c r="G141" s="64">
        <f>4.27 * CHOOSE(CONTROL!$C$22, $C$13, 100%, $E$13)</f>
        <v>4.2699999999999996</v>
      </c>
      <c r="H141" s="64">
        <f>7.2354* CHOOSE(CONTROL!$C$22, $C$13, 100%, $E$13)</f>
        <v>7.2354000000000003</v>
      </c>
      <c r="I141" s="64">
        <f>7.2452 * CHOOSE(CONTROL!$C$22, $C$13, 100%, $E$13)</f>
        <v>7.2451999999999996</v>
      </c>
      <c r="J141" s="64">
        <f>4.2602 * CHOOSE(CONTROL!$C$22, $C$13, 100%, $E$13)</f>
        <v>4.2602000000000002</v>
      </c>
      <c r="K141" s="64">
        <f>4.27 * CHOOSE(CONTROL!$C$22, $C$13, 100%, $E$13)</f>
        <v>4.2699999999999996</v>
      </c>
      <c r="L141" s="4"/>
      <c r="M141" s="4"/>
      <c r="N141" s="4"/>
    </row>
    <row r="142" spans="1:14" ht="15">
      <c r="A142" s="13">
        <v>45809</v>
      </c>
      <c r="B142" s="63">
        <f>3.5447 * CHOOSE(CONTROL!$C$22, $C$13, 100%, $E$13)</f>
        <v>3.5447000000000002</v>
      </c>
      <c r="C142" s="63">
        <f>3.5447 * CHOOSE(CONTROL!$C$22, $C$13, 100%, $E$13)</f>
        <v>3.5447000000000002</v>
      </c>
      <c r="D142" s="63">
        <f>3.5528 * CHOOSE(CONTROL!$C$22, $C$13, 100%, $E$13)</f>
        <v>3.5528</v>
      </c>
      <c r="E142" s="64">
        <f>4.2433 * CHOOSE(CONTROL!$C$22, $C$13, 100%, $E$13)</f>
        <v>4.2432999999999996</v>
      </c>
      <c r="F142" s="64">
        <f>4.2433 * CHOOSE(CONTROL!$C$22, $C$13, 100%, $E$13)</f>
        <v>4.2432999999999996</v>
      </c>
      <c r="G142" s="64">
        <f>4.2531 * CHOOSE(CONTROL!$C$22, $C$13, 100%, $E$13)</f>
        <v>4.2530999999999999</v>
      </c>
      <c r="H142" s="64">
        <f>7.2505* CHOOSE(CONTROL!$C$22, $C$13, 100%, $E$13)</f>
        <v>7.2504999999999997</v>
      </c>
      <c r="I142" s="64">
        <f>7.2603 * CHOOSE(CONTROL!$C$22, $C$13, 100%, $E$13)</f>
        <v>7.2603</v>
      </c>
      <c r="J142" s="64">
        <f>4.2433 * CHOOSE(CONTROL!$C$22, $C$13, 100%, $E$13)</f>
        <v>4.2432999999999996</v>
      </c>
      <c r="K142" s="64">
        <f>4.2531 * CHOOSE(CONTROL!$C$22, $C$13, 100%, $E$13)</f>
        <v>4.2530999999999999</v>
      </c>
      <c r="L142" s="4"/>
      <c r="M142" s="4"/>
      <c r="N142" s="4"/>
    </row>
    <row r="143" spans="1:14" ht="15">
      <c r="A143" s="13">
        <v>45839</v>
      </c>
      <c r="B143" s="63">
        <f>3.5989 * CHOOSE(CONTROL!$C$22, $C$13, 100%, $E$13)</f>
        <v>3.5989</v>
      </c>
      <c r="C143" s="63">
        <f>3.5989 * CHOOSE(CONTROL!$C$22, $C$13, 100%, $E$13)</f>
        <v>3.5989</v>
      </c>
      <c r="D143" s="63">
        <f>3.607 * CHOOSE(CONTROL!$C$22, $C$13, 100%, $E$13)</f>
        <v>3.6070000000000002</v>
      </c>
      <c r="E143" s="64">
        <f>4.3194 * CHOOSE(CONTROL!$C$22, $C$13, 100%, $E$13)</f>
        <v>4.3193999999999999</v>
      </c>
      <c r="F143" s="64">
        <f>4.3194 * CHOOSE(CONTROL!$C$22, $C$13, 100%, $E$13)</f>
        <v>4.3193999999999999</v>
      </c>
      <c r="G143" s="64">
        <f>4.3293 * CHOOSE(CONTROL!$C$22, $C$13, 100%, $E$13)</f>
        <v>4.3292999999999999</v>
      </c>
      <c r="H143" s="64">
        <f>7.2656* CHOOSE(CONTROL!$C$22, $C$13, 100%, $E$13)</f>
        <v>7.2656000000000001</v>
      </c>
      <c r="I143" s="64">
        <f>7.2754 * CHOOSE(CONTROL!$C$22, $C$13, 100%, $E$13)</f>
        <v>7.2754000000000003</v>
      </c>
      <c r="J143" s="64">
        <f>4.3194 * CHOOSE(CONTROL!$C$22, $C$13, 100%, $E$13)</f>
        <v>4.3193999999999999</v>
      </c>
      <c r="K143" s="64">
        <f>4.3293 * CHOOSE(CONTROL!$C$22, $C$13, 100%, $E$13)</f>
        <v>4.3292999999999999</v>
      </c>
      <c r="L143" s="4"/>
      <c r="M143" s="4"/>
      <c r="N143" s="4"/>
    </row>
    <row r="144" spans="1:14" ht="15">
      <c r="A144" s="13">
        <v>45870</v>
      </c>
      <c r="B144" s="63">
        <f>3.6055 * CHOOSE(CONTROL!$C$22, $C$13, 100%, $E$13)</f>
        <v>3.6055000000000001</v>
      </c>
      <c r="C144" s="63">
        <f>3.6055 * CHOOSE(CONTROL!$C$22, $C$13, 100%, $E$13)</f>
        <v>3.6055000000000001</v>
      </c>
      <c r="D144" s="63">
        <f>3.6136 * CHOOSE(CONTROL!$C$22, $C$13, 100%, $E$13)</f>
        <v>3.6135999999999999</v>
      </c>
      <c r="E144" s="64">
        <f>4.2607 * CHOOSE(CONTROL!$C$22, $C$13, 100%, $E$13)</f>
        <v>4.2606999999999999</v>
      </c>
      <c r="F144" s="64">
        <f>4.2607 * CHOOSE(CONTROL!$C$22, $C$13, 100%, $E$13)</f>
        <v>4.2606999999999999</v>
      </c>
      <c r="G144" s="64">
        <f>4.2705 * CHOOSE(CONTROL!$C$22, $C$13, 100%, $E$13)</f>
        <v>4.2705000000000002</v>
      </c>
      <c r="H144" s="64">
        <f>7.2807* CHOOSE(CONTROL!$C$22, $C$13, 100%, $E$13)</f>
        <v>7.2807000000000004</v>
      </c>
      <c r="I144" s="64">
        <f>7.2906 * CHOOSE(CONTROL!$C$22, $C$13, 100%, $E$13)</f>
        <v>7.2906000000000004</v>
      </c>
      <c r="J144" s="64">
        <f>4.2607 * CHOOSE(CONTROL!$C$22, $C$13, 100%, $E$13)</f>
        <v>4.2606999999999999</v>
      </c>
      <c r="K144" s="64">
        <f>4.2705 * CHOOSE(CONTROL!$C$22, $C$13, 100%, $E$13)</f>
        <v>4.2705000000000002</v>
      </c>
      <c r="L144" s="4"/>
      <c r="M144" s="4"/>
      <c r="N144" s="4"/>
    </row>
    <row r="145" spans="1:14" ht="15">
      <c r="A145" s="13">
        <v>45901</v>
      </c>
      <c r="B145" s="63">
        <f>3.6025 * CHOOSE(CONTROL!$C$22, $C$13, 100%, $E$13)</f>
        <v>3.6025</v>
      </c>
      <c r="C145" s="63">
        <f>3.6025 * CHOOSE(CONTROL!$C$22, $C$13, 100%, $E$13)</f>
        <v>3.6025</v>
      </c>
      <c r="D145" s="63">
        <f>3.6106 * CHOOSE(CONTROL!$C$22, $C$13, 100%, $E$13)</f>
        <v>3.6105999999999998</v>
      </c>
      <c r="E145" s="64">
        <f>4.2515 * CHOOSE(CONTROL!$C$22, $C$13, 100%, $E$13)</f>
        <v>4.2515000000000001</v>
      </c>
      <c r="F145" s="64">
        <f>4.2515 * CHOOSE(CONTROL!$C$22, $C$13, 100%, $E$13)</f>
        <v>4.2515000000000001</v>
      </c>
      <c r="G145" s="64">
        <f>4.2614 * CHOOSE(CONTROL!$C$22, $C$13, 100%, $E$13)</f>
        <v>4.2614000000000001</v>
      </c>
      <c r="H145" s="64">
        <f>7.2959* CHOOSE(CONTROL!$C$22, $C$13, 100%, $E$13)</f>
        <v>7.2958999999999996</v>
      </c>
      <c r="I145" s="64">
        <f>7.3057 * CHOOSE(CONTROL!$C$22, $C$13, 100%, $E$13)</f>
        <v>7.3056999999999999</v>
      </c>
      <c r="J145" s="64">
        <f>4.2515 * CHOOSE(CONTROL!$C$22, $C$13, 100%, $E$13)</f>
        <v>4.2515000000000001</v>
      </c>
      <c r="K145" s="64">
        <f>4.2614 * CHOOSE(CONTROL!$C$22, $C$13, 100%, $E$13)</f>
        <v>4.2614000000000001</v>
      </c>
      <c r="L145" s="4"/>
      <c r="M145" s="4"/>
      <c r="N145" s="4"/>
    </row>
    <row r="146" spans="1:14" ht="15">
      <c r="A146" s="13">
        <v>45931</v>
      </c>
      <c r="B146" s="63">
        <f>3.596 * CHOOSE(CONTROL!$C$22, $C$13, 100%, $E$13)</f>
        <v>3.5960000000000001</v>
      </c>
      <c r="C146" s="63">
        <f>3.596 * CHOOSE(CONTROL!$C$22, $C$13, 100%, $E$13)</f>
        <v>3.5960000000000001</v>
      </c>
      <c r="D146" s="63">
        <f>3.596 * CHOOSE(CONTROL!$C$22, $C$13, 100%, $E$13)</f>
        <v>3.5960000000000001</v>
      </c>
      <c r="E146" s="64">
        <f>4.2663 * CHOOSE(CONTROL!$C$22, $C$13, 100%, $E$13)</f>
        <v>4.2663000000000002</v>
      </c>
      <c r="F146" s="64">
        <f>4.2663 * CHOOSE(CONTROL!$C$22, $C$13, 100%, $E$13)</f>
        <v>4.2663000000000002</v>
      </c>
      <c r="G146" s="64">
        <f>4.2664 * CHOOSE(CONTROL!$C$22, $C$13, 100%, $E$13)</f>
        <v>4.2664</v>
      </c>
      <c r="H146" s="64">
        <f>7.3111* CHOOSE(CONTROL!$C$22, $C$13, 100%, $E$13)</f>
        <v>7.3110999999999997</v>
      </c>
      <c r="I146" s="64">
        <f>7.3112 * CHOOSE(CONTROL!$C$22, $C$13, 100%, $E$13)</f>
        <v>7.3112000000000004</v>
      </c>
      <c r="J146" s="64">
        <f>4.2663 * CHOOSE(CONTROL!$C$22, $C$13, 100%, $E$13)</f>
        <v>4.2663000000000002</v>
      </c>
      <c r="K146" s="64">
        <f>4.2664 * CHOOSE(CONTROL!$C$22, $C$13, 100%, $E$13)</f>
        <v>4.2664</v>
      </c>
      <c r="L146" s="4"/>
      <c r="M146" s="4"/>
      <c r="N146" s="4"/>
    </row>
    <row r="147" spans="1:14" ht="15">
      <c r="A147" s="13">
        <v>45962</v>
      </c>
      <c r="B147" s="63">
        <f>3.599 * CHOOSE(CONTROL!$C$22, $C$13, 100%, $E$13)</f>
        <v>3.5990000000000002</v>
      </c>
      <c r="C147" s="63">
        <f>3.599 * CHOOSE(CONTROL!$C$22, $C$13, 100%, $E$13)</f>
        <v>3.5990000000000002</v>
      </c>
      <c r="D147" s="63">
        <f>3.599 * CHOOSE(CONTROL!$C$22, $C$13, 100%, $E$13)</f>
        <v>3.5990000000000002</v>
      </c>
      <c r="E147" s="64">
        <f>4.2825 * CHOOSE(CONTROL!$C$22, $C$13, 100%, $E$13)</f>
        <v>4.2824999999999998</v>
      </c>
      <c r="F147" s="64">
        <f>4.2825 * CHOOSE(CONTROL!$C$22, $C$13, 100%, $E$13)</f>
        <v>4.2824999999999998</v>
      </c>
      <c r="G147" s="64">
        <f>4.2826 * CHOOSE(CONTROL!$C$22, $C$13, 100%, $E$13)</f>
        <v>4.2826000000000004</v>
      </c>
      <c r="H147" s="64">
        <f>7.3263* CHOOSE(CONTROL!$C$22, $C$13, 100%, $E$13)</f>
        <v>7.3262999999999998</v>
      </c>
      <c r="I147" s="64">
        <f>7.3264 * CHOOSE(CONTROL!$C$22, $C$13, 100%, $E$13)</f>
        <v>7.3263999999999996</v>
      </c>
      <c r="J147" s="64">
        <f>4.2825 * CHOOSE(CONTROL!$C$22, $C$13, 100%, $E$13)</f>
        <v>4.2824999999999998</v>
      </c>
      <c r="K147" s="64">
        <f>4.2826 * CHOOSE(CONTROL!$C$22, $C$13, 100%, $E$13)</f>
        <v>4.2826000000000004</v>
      </c>
    </row>
    <row r="148" spans="1:14" ht="15">
      <c r="A148" s="13">
        <v>45992</v>
      </c>
      <c r="B148" s="63">
        <f>3.599 * CHOOSE(CONTROL!$C$22, $C$13, 100%, $E$13)</f>
        <v>3.5990000000000002</v>
      </c>
      <c r="C148" s="63">
        <f>3.599 * CHOOSE(CONTROL!$C$22, $C$13, 100%, $E$13)</f>
        <v>3.5990000000000002</v>
      </c>
      <c r="D148" s="63">
        <f>3.599 * CHOOSE(CONTROL!$C$22, $C$13, 100%, $E$13)</f>
        <v>3.5990000000000002</v>
      </c>
      <c r="E148" s="64">
        <f>4.2473 * CHOOSE(CONTROL!$C$22, $C$13, 100%, $E$13)</f>
        <v>4.2473000000000001</v>
      </c>
      <c r="F148" s="64">
        <f>4.2473 * CHOOSE(CONTROL!$C$22, $C$13, 100%, $E$13)</f>
        <v>4.2473000000000001</v>
      </c>
      <c r="G148" s="64">
        <f>4.2474 * CHOOSE(CONTROL!$C$22, $C$13, 100%, $E$13)</f>
        <v>4.2473999999999998</v>
      </c>
      <c r="H148" s="64">
        <f>7.3416* CHOOSE(CONTROL!$C$22, $C$13, 100%, $E$13)</f>
        <v>7.3415999999999997</v>
      </c>
      <c r="I148" s="64">
        <f>7.3417 * CHOOSE(CONTROL!$C$22, $C$13, 100%, $E$13)</f>
        <v>7.3417000000000003</v>
      </c>
      <c r="J148" s="64">
        <f>4.2473 * CHOOSE(CONTROL!$C$22, $C$13, 100%, $E$13)</f>
        <v>4.2473000000000001</v>
      </c>
      <c r="K148" s="64">
        <f>4.2474 * CHOOSE(CONTROL!$C$22, $C$13, 100%, $E$13)</f>
        <v>4.2473999999999998</v>
      </c>
    </row>
    <row r="149" spans="1:14" ht="15">
      <c r="A149" s="13">
        <v>46023</v>
      </c>
      <c r="B149" s="63">
        <f>3.6288 * CHOOSE(CONTROL!$C$22, $C$13, 100%, $E$13)</f>
        <v>3.6288</v>
      </c>
      <c r="C149" s="63">
        <f>3.6288 * CHOOSE(CONTROL!$C$22, $C$13, 100%, $E$13)</f>
        <v>3.6288</v>
      </c>
      <c r="D149" s="63">
        <f>3.6288 * CHOOSE(CONTROL!$C$22, $C$13, 100%, $E$13)</f>
        <v>3.6288</v>
      </c>
      <c r="E149" s="64">
        <f>4.3063 * CHOOSE(CONTROL!$C$22, $C$13, 100%, $E$13)</f>
        <v>4.3063000000000002</v>
      </c>
      <c r="F149" s="64">
        <f>4.3063 * CHOOSE(CONTROL!$C$22, $C$13, 100%, $E$13)</f>
        <v>4.3063000000000002</v>
      </c>
      <c r="G149" s="64">
        <f>4.3064 * CHOOSE(CONTROL!$C$22, $C$13, 100%, $E$13)</f>
        <v>4.3064</v>
      </c>
      <c r="H149" s="64">
        <f>7.3569* CHOOSE(CONTROL!$C$22, $C$13, 100%, $E$13)</f>
        <v>7.3569000000000004</v>
      </c>
      <c r="I149" s="64">
        <f>7.357 * CHOOSE(CONTROL!$C$22, $C$13, 100%, $E$13)</f>
        <v>7.3570000000000002</v>
      </c>
      <c r="J149" s="64">
        <f>4.3063 * CHOOSE(CONTROL!$C$22, $C$13, 100%, $E$13)</f>
        <v>4.3063000000000002</v>
      </c>
      <c r="K149" s="64">
        <f>4.3064 * CHOOSE(CONTROL!$C$22, $C$13, 100%, $E$13)</f>
        <v>4.3064</v>
      </c>
    </row>
    <row r="150" spans="1:14" ht="15">
      <c r="A150" s="13">
        <v>46054</v>
      </c>
      <c r="B150" s="63">
        <f>3.6257 * CHOOSE(CONTROL!$C$22, $C$13, 100%, $E$13)</f>
        <v>3.6257000000000001</v>
      </c>
      <c r="C150" s="63">
        <f>3.6257 * CHOOSE(CONTROL!$C$22, $C$13, 100%, $E$13)</f>
        <v>3.6257000000000001</v>
      </c>
      <c r="D150" s="63">
        <f>3.6258 * CHOOSE(CONTROL!$C$22, $C$13, 100%, $E$13)</f>
        <v>3.6257999999999999</v>
      </c>
      <c r="E150" s="64">
        <f>4.236 * CHOOSE(CONTROL!$C$22, $C$13, 100%, $E$13)</f>
        <v>4.2359999999999998</v>
      </c>
      <c r="F150" s="64">
        <f>4.236 * CHOOSE(CONTROL!$C$22, $C$13, 100%, $E$13)</f>
        <v>4.2359999999999998</v>
      </c>
      <c r="G150" s="64">
        <f>4.236 * CHOOSE(CONTROL!$C$22, $C$13, 100%, $E$13)</f>
        <v>4.2359999999999998</v>
      </c>
      <c r="H150" s="64">
        <f>7.3722* CHOOSE(CONTROL!$C$22, $C$13, 100%, $E$13)</f>
        <v>7.3722000000000003</v>
      </c>
      <c r="I150" s="64">
        <f>7.3723 * CHOOSE(CONTROL!$C$22, $C$13, 100%, $E$13)</f>
        <v>7.3723000000000001</v>
      </c>
      <c r="J150" s="64">
        <f>4.236 * CHOOSE(CONTROL!$C$22, $C$13, 100%, $E$13)</f>
        <v>4.2359999999999998</v>
      </c>
      <c r="K150" s="64">
        <f>4.236 * CHOOSE(CONTROL!$C$22, $C$13, 100%, $E$13)</f>
        <v>4.2359999999999998</v>
      </c>
    </row>
    <row r="151" spans="1:14" ht="15">
      <c r="A151" s="13">
        <v>46082</v>
      </c>
      <c r="B151" s="63">
        <f>3.6227 * CHOOSE(CONTROL!$C$22, $C$13, 100%, $E$13)</f>
        <v>3.6227</v>
      </c>
      <c r="C151" s="63">
        <f>3.6227 * CHOOSE(CONTROL!$C$22, $C$13, 100%, $E$13)</f>
        <v>3.6227</v>
      </c>
      <c r="D151" s="63">
        <f>3.6227 * CHOOSE(CONTROL!$C$22, $C$13, 100%, $E$13)</f>
        <v>3.6227</v>
      </c>
      <c r="E151" s="64">
        <f>4.2876 * CHOOSE(CONTROL!$C$22, $C$13, 100%, $E$13)</f>
        <v>4.2876000000000003</v>
      </c>
      <c r="F151" s="64">
        <f>4.2876 * CHOOSE(CONTROL!$C$22, $C$13, 100%, $E$13)</f>
        <v>4.2876000000000003</v>
      </c>
      <c r="G151" s="64">
        <f>4.2877 * CHOOSE(CONTROL!$C$22, $C$13, 100%, $E$13)</f>
        <v>4.2877000000000001</v>
      </c>
      <c r="H151" s="64">
        <f>7.3876* CHOOSE(CONTROL!$C$22, $C$13, 100%, $E$13)</f>
        <v>7.3875999999999999</v>
      </c>
      <c r="I151" s="64">
        <f>7.3877 * CHOOSE(CONTROL!$C$22, $C$13, 100%, $E$13)</f>
        <v>7.3876999999999997</v>
      </c>
      <c r="J151" s="64">
        <f>4.2876 * CHOOSE(CONTROL!$C$22, $C$13, 100%, $E$13)</f>
        <v>4.2876000000000003</v>
      </c>
      <c r="K151" s="64">
        <f>4.2877 * CHOOSE(CONTROL!$C$22, $C$13, 100%, $E$13)</f>
        <v>4.2877000000000001</v>
      </c>
    </row>
    <row r="152" spans="1:14" ht="15">
      <c r="A152" s="13">
        <v>46113</v>
      </c>
      <c r="B152" s="63">
        <f>3.62 * CHOOSE(CONTROL!$C$22, $C$13, 100%, $E$13)</f>
        <v>3.62</v>
      </c>
      <c r="C152" s="63">
        <f>3.62 * CHOOSE(CONTROL!$C$22, $C$13, 100%, $E$13)</f>
        <v>3.62</v>
      </c>
      <c r="D152" s="63">
        <f>3.62 * CHOOSE(CONTROL!$C$22, $C$13, 100%, $E$13)</f>
        <v>3.62</v>
      </c>
      <c r="E152" s="64">
        <f>4.3412 * CHOOSE(CONTROL!$C$22, $C$13, 100%, $E$13)</f>
        <v>4.3411999999999997</v>
      </c>
      <c r="F152" s="64">
        <f>4.3412 * CHOOSE(CONTROL!$C$22, $C$13, 100%, $E$13)</f>
        <v>4.3411999999999997</v>
      </c>
      <c r="G152" s="64">
        <f>4.3412 * CHOOSE(CONTROL!$C$22, $C$13, 100%, $E$13)</f>
        <v>4.3411999999999997</v>
      </c>
      <c r="H152" s="64">
        <f>7.403* CHOOSE(CONTROL!$C$22, $C$13, 100%, $E$13)</f>
        <v>7.4029999999999996</v>
      </c>
      <c r="I152" s="64">
        <f>7.403 * CHOOSE(CONTROL!$C$22, $C$13, 100%, $E$13)</f>
        <v>7.4029999999999996</v>
      </c>
      <c r="J152" s="64">
        <f>4.3412 * CHOOSE(CONTROL!$C$22, $C$13, 100%, $E$13)</f>
        <v>4.3411999999999997</v>
      </c>
      <c r="K152" s="64">
        <f>4.3412 * CHOOSE(CONTROL!$C$22, $C$13, 100%, $E$13)</f>
        <v>4.3411999999999997</v>
      </c>
    </row>
    <row r="153" spans="1:14" ht="15">
      <c r="A153" s="13">
        <v>46143</v>
      </c>
      <c r="B153" s="63">
        <f>3.62 * CHOOSE(CONTROL!$C$22, $C$13, 100%, $E$13)</f>
        <v>3.62</v>
      </c>
      <c r="C153" s="63">
        <f>3.62 * CHOOSE(CONTROL!$C$22, $C$13, 100%, $E$13)</f>
        <v>3.62</v>
      </c>
      <c r="D153" s="63">
        <f>3.6281 * CHOOSE(CONTROL!$C$22, $C$13, 100%, $E$13)</f>
        <v>3.6280999999999999</v>
      </c>
      <c r="E153" s="64">
        <f>4.3628 * CHOOSE(CONTROL!$C$22, $C$13, 100%, $E$13)</f>
        <v>4.3628</v>
      </c>
      <c r="F153" s="64">
        <f>4.3628 * CHOOSE(CONTROL!$C$22, $C$13, 100%, $E$13)</f>
        <v>4.3628</v>
      </c>
      <c r="G153" s="64">
        <f>4.3727 * CHOOSE(CONTROL!$C$22, $C$13, 100%, $E$13)</f>
        <v>4.3727</v>
      </c>
      <c r="H153" s="64">
        <f>7.4184* CHOOSE(CONTROL!$C$22, $C$13, 100%, $E$13)</f>
        <v>7.4184000000000001</v>
      </c>
      <c r="I153" s="64">
        <f>7.4282 * CHOOSE(CONTROL!$C$22, $C$13, 100%, $E$13)</f>
        <v>7.4282000000000004</v>
      </c>
      <c r="J153" s="64">
        <f>4.3628 * CHOOSE(CONTROL!$C$22, $C$13, 100%, $E$13)</f>
        <v>4.3628</v>
      </c>
      <c r="K153" s="64">
        <f>4.3727 * CHOOSE(CONTROL!$C$22, $C$13, 100%, $E$13)</f>
        <v>4.3727</v>
      </c>
    </row>
    <row r="154" spans="1:14" ht="15">
      <c r="A154" s="13">
        <v>46174</v>
      </c>
      <c r="B154" s="63">
        <f>3.626 * CHOOSE(CONTROL!$C$22, $C$13, 100%, $E$13)</f>
        <v>3.6259999999999999</v>
      </c>
      <c r="C154" s="63">
        <f>3.626 * CHOOSE(CONTROL!$C$22, $C$13, 100%, $E$13)</f>
        <v>3.6259999999999999</v>
      </c>
      <c r="D154" s="63">
        <f>3.6342 * CHOOSE(CONTROL!$C$22, $C$13, 100%, $E$13)</f>
        <v>3.6341999999999999</v>
      </c>
      <c r="E154" s="64">
        <f>4.3454 * CHOOSE(CONTROL!$C$22, $C$13, 100%, $E$13)</f>
        <v>4.3453999999999997</v>
      </c>
      <c r="F154" s="64">
        <f>4.3454 * CHOOSE(CONTROL!$C$22, $C$13, 100%, $E$13)</f>
        <v>4.3453999999999997</v>
      </c>
      <c r="G154" s="64">
        <f>4.3552 * CHOOSE(CONTROL!$C$22, $C$13, 100%, $E$13)</f>
        <v>4.3552</v>
      </c>
      <c r="H154" s="64">
        <f>7.4338* CHOOSE(CONTROL!$C$22, $C$13, 100%, $E$13)</f>
        <v>7.4337999999999997</v>
      </c>
      <c r="I154" s="64">
        <f>7.4437 * CHOOSE(CONTROL!$C$22, $C$13, 100%, $E$13)</f>
        <v>7.4436999999999998</v>
      </c>
      <c r="J154" s="64">
        <f>4.3454 * CHOOSE(CONTROL!$C$22, $C$13, 100%, $E$13)</f>
        <v>4.3453999999999997</v>
      </c>
      <c r="K154" s="64">
        <f>4.3552 * CHOOSE(CONTROL!$C$22, $C$13, 100%, $E$13)</f>
        <v>4.3552</v>
      </c>
    </row>
    <row r="155" spans="1:14" ht="15">
      <c r="A155" s="13">
        <v>46204</v>
      </c>
      <c r="B155" s="63">
        <f>3.6807 * CHOOSE(CONTROL!$C$22, $C$13, 100%, $E$13)</f>
        <v>3.6806999999999999</v>
      </c>
      <c r="C155" s="63">
        <f>3.6807 * CHOOSE(CONTROL!$C$22, $C$13, 100%, $E$13)</f>
        <v>3.6806999999999999</v>
      </c>
      <c r="D155" s="63">
        <f>3.6888 * CHOOSE(CONTROL!$C$22, $C$13, 100%, $E$13)</f>
        <v>3.6888000000000001</v>
      </c>
      <c r="E155" s="64">
        <f>4.4213 * CHOOSE(CONTROL!$C$22, $C$13, 100%, $E$13)</f>
        <v>4.4212999999999996</v>
      </c>
      <c r="F155" s="64">
        <f>4.4213 * CHOOSE(CONTROL!$C$22, $C$13, 100%, $E$13)</f>
        <v>4.4212999999999996</v>
      </c>
      <c r="G155" s="64">
        <f>4.4311 * CHOOSE(CONTROL!$C$22, $C$13, 100%, $E$13)</f>
        <v>4.4310999999999998</v>
      </c>
      <c r="H155" s="64">
        <f>7.4493* CHOOSE(CONTROL!$C$22, $C$13, 100%, $E$13)</f>
        <v>7.4493</v>
      </c>
      <c r="I155" s="64">
        <f>7.4592 * CHOOSE(CONTROL!$C$22, $C$13, 100%, $E$13)</f>
        <v>7.4592000000000001</v>
      </c>
      <c r="J155" s="64">
        <f>4.4213 * CHOOSE(CONTROL!$C$22, $C$13, 100%, $E$13)</f>
        <v>4.4212999999999996</v>
      </c>
      <c r="K155" s="64">
        <f>4.4311 * CHOOSE(CONTROL!$C$22, $C$13, 100%, $E$13)</f>
        <v>4.4310999999999998</v>
      </c>
    </row>
    <row r="156" spans="1:14" ht="15">
      <c r="A156" s="13">
        <v>46235</v>
      </c>
      <c r="B156" s="63">
        <f>3.6874 * CHOOSE(CONTROL!$C$22, $C$13, 100%, $E$13)</f>
        <v>3.6873999999999998</v>
      </c>
      <c r="C156" s="63">
        <f>3.6874 * CHOOSE(CONTROL!$C$22, $C$13, 100%, $E$13)</f>
        <v>3.6873999999999998</v>
      </c>
      <c r="D156" s="63">
        <f>3.6955 * CHOOSE(CONTROL!$C$22, $C$13, 100%, $E$13)</f>
        <v>3.6955</v>
      </c>
      <c r="E156" s="64">
        <f>4.3609 * CHOOSE(CONTROL!$C$22, $C$13, 100%, $E$13)</f>
        <v>4.3609</v>
      </c>
      <c r="F156" s="64">
        <f>4.3609 * CHOOSE(CONTROL!$C$22, $C$13, 100%, $E$13)</f>
        <v>4.3609</v>
      </c>
      <c r="G156" s="64">
        <f>4.3708 * CHOOSE(CONTROL!$C$22, $C$13, 100%, $E$13)</f>
        <v>4.3708</v>
      </c>
      <c r="H156" s="64">
        <f>7.4648* CHOOSE(CONTROL!$C$22, $C$13, 100%, $E$13)</f>
        <v>7.4648000000000003</v>
      </c>
      <c r="I156" s="64">
        <f>7.4747 * CHOOSE(CONTROL!$C$22, $C$13, 100%, $E$13)</f>
        <v>7.4747000000000003</v>
      </c>
      <c r="J156" s="64">
        <f>4.3609 * CHOOSE(CONTROL!$C$22, $C$13, 100%, $E$13)</f>
        <v>4.3609</v>
      </c>
      <c r="K156" s="64">
        <f>4.3708 * CHOOSE(CONTROL!$C$22, $C$13, 100%, $E$13)</f>
        <v>4.3708</v>
      </c>
    </row>
    <row r="157" spans="1:14" ht="15">
      <c r="A157" s="13">
        <v>46266</v>
      </c>
      <c r="B157" s="63">
        <f>3.6843 * CHOOSE(CONTROL!$C$22, $C$13, 100%, $E$13)</f>
        <v>3.6842999999999999</v>
      </c>
      <c r="C157" s="63">
        <f>3.6843 * CHOOSE(CONTROL!$C$22, $C$13, 100%, $E$13)</f>
        <v>3.6842999999999999</v>
      </c>
      <c r="D157" s="63">
        <f>3.6924 * CHOOSE(CONTROL!$C$22, $C$13, 100%, $E$13)</f>
        <v>3.6924000000000001</v>
      </c>
      <c r="E157" s="64">
        <f>4.3516 * CHOOSE(CONTROL!$C$22, $C$13, 100%, $E$13)</f>
        <v>4.3516000000000004</v>
      </c>
      <c r="F157" s="64">
        <f>4.3516 * CHOOSE(CONTROL!$C$22, $C$13, 100%, $E$13)</f>
        <v>4.3516000000000004</v>
      </c>
      <c r="G157" s="64">
        <f>4.3614 * CHOOSE(CONTROL!$C$22, $C$13, 100%, $E$13)</f>
        <v>4.3613999999999997</v>
      </c>
      <c r="H157" s="64">
        <f>7.4804* CHOOSE(CONTROL!$C$22, $C$13, 100%, $E$13)</f>
        <v>7.4804000000000004</v>
      </c>
      <c r="I157" s="64">
        <f>7.4902 * CHOOSE(CONTROL!$C$22, $C$13, 100%, $E$13)</f>
        <v>7.4901999999999997</v>
      </c>
      <c r="J157" s="64">
        <f>4.3516 * CHOOSE(CONTROL!$C$22, $C$13, 100%, $E$13)</f>
        <v>4.3516000000000004</v>
      </c>
      <c r="K157" s="64">
        <f>4.3614 * CHOOSE(CONTROL!$C$22, $C$13, 100%, $E$13)</f>
        <v>4.3613999999999997</v>
      </c>
    </row>
    <row r="158" spans="1:14" ht="15">
      <c r="A158" s="13">
        <v>46296</v>
      </c>
      <c r="B158" s="63">
        <f>3.6781 * CHOOSE(CONTROL!$C$22, $C$13, 100%, $E$13)</f>
        <v>3.6781000000000001</v>
      </c>
      <c r="C158" s="63">
        <f>3.6781 * CHOOSE(CONTROL!$C$22, $C$13, 100%, $E$13)</f>
        <v>3.6781000000000001</v>
      </c>
      <c r="D158" s="63">
        <f>3.6781 * CHOOSE(CONTROL!$C$22, $C$13, 100%, $E$13)</f>
        <v>3.6781000000000001</v>
      </c>
      <c r="E158" s="64">
        <f>4.3671 * CHOOSE(CONTROL!$C$22, $C$13, 100%, $E$13)</f>
        <v>4.3670999999999998</v>
      </c>
      <c r="F158" s="64">
        <f>4.3671 * CHOOSE(CONTROL!$C$22, $C$13, 100%, $E$13)</f>
        <v>4.3670999999999998</v>
      </c>
      <c r="G158" s="64">
        <f>4.3672 * CHOOSE(CONTROL!$C$22, $C$13, 100%, $E$13)</f>
        <v>4.3672000000000004</v>
      </c>
      <c r="H158" s="64">
        <f>7.496* CHOOSE(CONTROL!$C$22, $C$13, 100%, $E$13)</f>
        <v>7.4960000000000004</v>
      </c>
      <c r="I158" s="64">
        <f>7.4961 * CHOOSE(CONTROL!$C$22, $C$13, 100%, $E$13)</f>
        <v>7.4961000000000002</v>
      </c>
      <c r="J158" s="64">
        <f>4.3671 * CHOOSE(CONTROL!$C$22, $C$13, 100%, $E$13)</f>
        <v>4.3670999999999998</v>
      </c>
      <c r="K158" s="64">
        <f>4.3672 * CHOOSE(CONTROL!$C$22, $C$13, 100%, $E$13)</f>
        <v>4.3672000000000004</v>
      </c>
    </row>
    <row r="159" spans="1:14" ht="15">
      <c r="A159" s="13">
        <v>46327</v>
      </c>
      <c r="B159" s="63">
        <f>3.6811 * CHOOSE(CONTROL!$C$22, $C$13, 100%, $E$13)</f>
        <v>3.6810999999999998</v>
      </c>
      <c r="C159" s="63">
        <f>3.6811 * CHOOSE(CONTROL!$C$22, $C$13, 100%, $E$13)</f>
        <v>3.6810999999999998</v>
      </c>
      <c r="D159" s="63">
        <f>3.6812 * CHOOSE(CONTROL!$C$22, $C$13, 100%, $E$13)</f>
        <v>3.6812</v>
      </c>
      <c r="E159" s="64">
        <f>4.3836 * CHOOSE(CONTROL!$C$22, $C$13, 100%, $E$13)</f>
        <v>4.3836000000000004</v>
      </c>
      <c r="F159" s="64">
        <f>4.3836 * CHOOSE(CONTROL!$C$22, $C$13, 100%, $E$13)</f>
        <v>4.3836000000000004</v>
      </c>
      <c r="G159" s="64">
        <f>4.3837 * CHOOSE(CONTROL!$C$22, $C$13, 100%, $E$13)</f>
        <v>4.3837000000000002</v>
      </c>
      <c r="H159" s="64">
        <f>7.5116* CHOOSE(CONTROL!$C$22, $C$13, 100%, $E$13)</f>
        <v>7.5115999999999996</v>
      </c>
      <c r="I159" s="64">
        <f>7.5117 * CHOOSE(CONTROL!$C$22, $C$13, 100%, $E$13)</f>
        <v>7.5117000000000003</v>
      </c>
      <c r="J159" s="64">
        <f>4.3836 * CHOOSE(CONTROL!$C$22, $C$13, 100%, $E$13)</f>
        <v>4.3836000000000004</v>
      </c>
      <c r="K159" s="64">
        <f>4.3837 * CHOOSE(CONTROL!$C$22, $C$13, 100%, $E$13)</f>
        <v>4.3837000000000002</v>
      </c>
    </row>
    <row r="160" spans="1:14" ht="15">
      <c r="A160" s="13">
        <v>46357</v>
      </c>
      <c r="B160" s="63">
        <f>3.6811 * CHOOSE(CONTROL!$C$22, $C$13, 100%, $E$13)</f>
        <v>3.6810999999999998</v>
      </c>
      <c r="C160" s="63">
        <f>3.6811 * CHOOSE(CONTROL!$C$22, $C$13, 100%, $E$13)</f>
        <v>3.6810999999999998</v>
      </c>
      <c r="D160" s="63">
        <f>3.6812 * CHOOSE(CONTROL!$C$22, $C$13, 100%, $E$13)</f>
        <v>3.6812</v>
      </c>
      <c r="E160" s="64">
        <f>4.3475 * CHOOSE(CONTROL!$C$22, $C$13, 100%, $E$13)</f>
        <v>4.3475000000000001</v>
      </c>
      <c r="F160" s="64">
        <f>4.3475 * CHOOSE(CONTROL!$C$22, $C$13, 100%, $E$13)</f>
        <v>4.3475000000000001</v>
      </c>
      <c r="G160" s="64">
        <f>4.3476 * CHOOSE(CONTROL!$C$22, $C$13, 100%, $E$13)</f>
        <v>4.3475999999999999</v>
      </c>
      <c r="H160" s="64">
        <f>7.5273* CHOOSE(CONTROL!$C$22, $C$13, 100%, $E$13)</f>
        <v>7.5273000000000003</v>
      </c>
      <c r="I160" s="64">
        <f>7.5273 * CHOOSE(CONTROL!$C$22, $C$13, 100%, $E$13)</f>
        <v>7.5273000000000003</v>
      </c>
      <c r="J160" s="64">
        <f>4.3475 * CHOOSE(CONTROL!$C$22, $C$13, 100%, $E$13)</f>
        <v>4.3475000000000001</v>
      </c>
      <c r="K160" s="64">
        <f>4.3476 * CHOOSE(CONTROL!$C$22, $C$13, 100%, $E$13)</f>
        <v>4.3475999999999999</v>
      </c>
    </row>
    <row r="161" spans="1:11" ht="15">
      <c r="A161" s="13">
        <v>46388</v>
      </c>
      <c r="B161" s="63">
        <f>3.7098 * CHOOSE(CONTROL!$C$22, $C$13, 100%, $E$13)</f>
        <v>3.7098</v>
      </c>
      <c r="C161" s="63">
        <f>3.7098 * CHOOSE(CONTROL!$C$22, $C$13, 100%, $E$13)</f>
        <v>3.7098</v>
      </c>
      <c r="D161" s="63">
        <f>3.7098 * CHOOSE(CONTROL!$C$22, $C$13, 100%, $E$13)</f>
        <v>3.7098</v>
      </c>
      <c r="E161" s="64">
        <f>4.4079 * CHOOSE(CONTROL!$C$22, $C$13, 100%, $E$13)</f>
        <v>4.4078999999999997</v>
      </c>
      <c r="F161" s="64">
        <f>4.4079 * CHOOSE(CONTROL!$C$22, $C$13, 100%, $E$13)</f>
        <v>4.4078999999999997</v>
      </c>
      <c r="G161" s="64">
        <f>4.408 * CHOOSE(CONTROL!$C$22, $C$13, 100%, $E$13)</f>
        <v>4.4080000000000004</v>
      </c>
      <c r="H161" s="64">
        <f>7.5429* CHOOSE(CONTROL!$C$22, $C$13, 100%, $E$13)</f>
        <v>7.5429000000000004</v>
      </c>
      <c r="I161" s="64">
        <f>7.543 * CHOOSE(CONTROL!$C$22, $C$13, 100%, $E$13)</f>
        <v>7.5430000000000001</v>
      </c>
      <c r="J161" s="64">
        <f>4.4079 * CHOOSE(CONTROL!$C$22, $C$13, 100%, $E$13)</f>
        <v>4.4078999999999997</v>
      </c>
      <c r="K161" s="64">
        <f>4.408 * CHOOSE(CONTROL!$C$22, $C$13, 100%, $E$13)</f>
        <v>4.4080000000000004</v>
      </c>
    </row>
    <row r="162" spans="1:11" ht="15">
      <c r="A162" s="13">
        <v>46419</v>
      </c>
      <c r="B162" s="63">
        <f>3.7067 * CHOOSE(CONTROL!$C$22, $C$13, 100%, $E$13)</f>
        <v>3.7067000000000001</v>
      </c>
      <c r="C162" s="63">
        <f>3.7067 * CHOOSE(CONTROL!$C$22, $C$13, 100%, $E$13)</f>
        <v>3.7067000000000001</v>
      </c>
      <c r="D162" s="63">
        <f>3.7067 * CHOOSE(CONTROL!$C$22, $C$13, 100%, $E$13)</f>
        <v>3.7067000000000001</v>
      </c>
      <c r="E162" s="64">
        <f>4.3359 * CHOOSE(CONTROL!$C$22, $C$13, 100%, $E$13)</f>
        <v>4.3358999999999996</v>
      </c>
      <c r="F162" s="64">
        <f>4.3359 * CHOOSE(CONTROL!$C$22, $C$13, 100%, $E$13)</f>
        <v>4.3358999999999996</v>
      </c>
      <c r="G162" s="64">
        <f>4.3359 * CHOOSE(CONTROL!$C$22, $C$13, 100%, $E$13)</f>
        <v>4.3358999999999996</v>
      </c>
      <c r="H162" s="64">
        <f>7.5586* CHOOSE(CONTROL!$C$22, $C$13, 100%, $E$13)</f>
        <v>7.5586000000000002</v>
      </c>
      <c r="I162" s="64">
        <f>7.5587 * CHOOSE(CONTROL!$C$22, $C$13, 100%, $E$13)</f>
        <v>7.5587</v>
      </c>
      <c r="J162" s="64">
        <f>4.3359 * CHOOSE(CONTROL!$C$22, $C$13, 100%, $E$13)</f>
        <v>4.3358999999999996</v>
      </c>
      <c r="K162" s="64">
        <f>4.3359 * CHOOSE(CONTROL!$C$22, $C$13, 100%, $E$13)</f>
        <v>4.3358999999999996</v>
      </c>
    </row>
    <row r="163" spans="1:11" ht="15">
      <c r="A163" s="13">
        <v>46447</v>
      </c>
      <c r="B163" s="63">
        <f>3.7037 * CHOOSE(CONTROL!$C$22, $C$13, 100%, $E$13)</f>
        <v>3.7037</v>
      </c>
      <c r="C163" s="63">
        <f>3.7037 * CHOOSE(CONTROL!$C$22, $C$13, 100%, $E$13)</f>
        <v>3.7037</v>
      </c>
      <c r="D163" s="63">
        <f>3.7037 * CHOOSE(CONTROL!$C$22, $C$13, 100%, $E$13)</f>
        <v>3.7037</v>
      </c>
      <c r="E163" s="64">
        <f>4.3889 * CHOOSE(CONTROL!$C$22, $C$13, 100%, $E$13)</f>
        <v>4.3888999999999996</v>
      </c>
      <c r="F163" s="64">
        <f>4.3889 * CHOOSE(CONTROL!$C$22, $C$13, 100%, $E$13)</f>
        <v>4.3888999999999996</v>
      </c>
      <c r="G163" s="64">
        <f>4.389 * CHOOSE(CONTROL!$C$22, $C$13, 100%, $E$13)</f>
        <v>4.3890000000000002</v>
      </c>
      <c r="H163" s="64">
        <f>7.5744* CHOOSE(CONTROL!$C$22, $C$13, 100%, $E$13)</f>
        <v>7.5743999999999998</v>
      </c>
      <c r="I163" s="64">
        <f>7.5745 * CHOOSE(CONTROL!$C$22, $C$13, 100%, $E$13)</f>
        <v>7.5744999999999996</v>
      </c>
      <c r="J163" s="64">
        <f>4.3889 * CHOOSE(CONTROL!$C$22, $C$13, 100%, $E$13)</f>
        <v>4.3888999999999996</v>
      </c>
      <c r="K163" s="64">
        <f>4.389 * CHOOSE(CONTROL!$C$22, $C$13, 100%, $E$13)</f>
        <v>4.3890000000000002</v>
      </c>
    </row>
    <row r="164" spans="1:11" ht="15">
      <c r="A164" s="13">
        <v>46478</v>
      </c>
      <c r="B164" s="63">
        <f>3.701 * CHOOSE(CONTROL!$C$22, $C$13, 100%, $E$13)</f>
        <v>3.7010000000000001</v>
      </c>
      <c r="C164" s="63">
        <f>3.701 * CHOOSE(CONTROL!$C$22, $C$13, 100%, $E$13)</f>
        <v>3.7010000000000001</v>
      </c>
      <c r="D164" s="63">
        <f>3.701 * CHOOSE(CONTROL!$C$22, $C$13, 100%, $E$13)</f>
        <v>3.7010000000000001</v>
      </c>
      <c r="E164" s="64">
        <f>4.4439 * CHOOSE(CONTROL!$C$22, $C$13, 100%, $E$13)</f>
        <v>4.4439000000000002</v>
      </c>
      <c r="F164" s="64">
        <f>4.4439 * CHOOSE(CONTROL!$C$22, $C$13, 100%, $E$13)</f>
        <v>4.4439000000000002</v>
      </c>
      <c r="G164" s="64">
        <f>4.444 * CHOOSE(CONTROL!$C$22, $C$13, 100%, $E$13)</f>
        <v>4.444</v>
      </c>
      <c r="H164" s="64">
        <f>7.5902* CHOOSE(CONTROL!$C$22, $C$13, 100%, $E$13)</f>
        <v>7.5902000000000003</v>
      </c>
      <c r="I164" s="64">
        <f>7.5903 * CHOOSE(CONTROL!$C$22, $C$13, 100%, $E$13)</f>
        <v>7.5903</v>
      </c>
      <c r="J164" s="64">
        <f>4.4439 * CHOOSE(CONTROL!$C$22, $C$13, 100%, $E$13)</f>
        <v>4.4439000000000002</v>
      </c>
      <c r="K164" s="64">
        <f>4.444 * CHOOSE(CONTROL!$C$22, $C$13, 100%, $E$13)</f>
        <v>4.444</v>
      </c>
    </row>
    <row r="165" spans="1:11" ht="15">
      <c r="A165" s="13">
        <v>46508</v>
      </c>
      <c r="B165" s="63">
        <f>3.701 * CHOOSE(CONTROL!$C$22, $C$13, 100%, $E$13)</f>
        <v>3.7010000000000001</v>
      </c>
      <c r="C165" s="63">
        <f>3.701 * CHOOSE(CONTROL!$C$22, $C$13, 100%, $E$13)</f>
        <v>3.7010000000000001</v>
      </c>
      <c r="D165" s="63">
        <f>3.7091 * CHOOSE(CONTROL!$C$22, $C$13, 100%, $E$13)</f>
        <v>3.7090999999999998</v>
      </c>
      <c r="E165" s="64">
        <f>4.4661 * CHOOSE(CONTROL!$C$22, $C$13, 100%, $E$13)</f>
        <v>4.4661</v>
      </c>
      <c r="F165" s="64">
        <f>4.4661 * CHOOSE(CONTROL!$C$22, $C$13, 100%, $E$13)</f>
        <v>4.4661</v>
      </c>
      <c r="G165" s="64">
        <f>4.4759 * CHOOSE(CONTROL!$C$22, $C$13, 100%, $E$13)</f>
        <v>4.4759000000000002</v>
      </c>
      <c r="H165" s="64">
        <f>7.606* CHOOSE(CONTROL!$C$22, $C$13, 100%, $E$13)</f>
        <v>7.6059999999999999</v>
      </c>
      <c r="I165" s="64">
        <f>7.6158 * CHOOSE(CONTROL!$C$22, $C$13, 100%, $E$13)</f>
        <v>7.6158000000000001</v>
      </c>
      <c r="J165" s="64">
        <f>4.4661 * CHOOSE(CONTROL!$C$22, $C$13, 100%, $E$13)</f>
        <v>4.4661</v>
      </c>
      <c r="K165" s="64">
        <f>4.4759 * CHOOSE(CONTROL!$C$22, $C$13, 100%, $E$13)</f>
        <v>4.4759000000000002</v>
      </c>
    </row>
    <row r="166" spans="1:11" ht="15">
      <c r="A166" s="13">
        <v>46539</v>
      </c>
      <c r="B166" s="63">
        <f>3.7071 * CHOOSE(CONTROL!$C$22, $C$13, 100%, $E$13)</f>
        <v>3.7071000000000001</v>
      </c>
      <c r="C166" s="63">
        <f>3.7071 * CHOOSE(CONTROL!$C$22, $C$13, 100%, $E$13)</f>
        <v>3.7071000000000001</v>
      </c>
      <c r="D166" s="63">
        <f>3.7152 * CHOOSE(CONTROL!$C$22, $C$13, 100%, $E$13)</f>
        <v>3.7151999999999998</v>
      </c>
      <c r="E166" s="64">
        <f>4.4481 * CHOOSE(CONTROL!$C$22, $C$13, 100%, $E$13)</f>
        <v>4.4481000000000002</v>
      </c>
      <c r="F166" s="64">
        <f>4.4481 * CHOOSE(CONTROL!$C$22, $C$13, 100%, $E$13)</f>
        <v>4.4481000000000002</v>
      </c>
      <c r="G166" s="64">
        <f>4.458 * CHOOSE(CONTROL!$C$22, $C$13, 100%, $E$13)</f>
        <v>4.4580000000000002</v>
      </c>
      <c r="H166" s="64">
        <f>7.6218* CHOOSE(CONTROL!$C$22, $C$13, 100%, $E$13)</f>
        <v>7.6218000000000004</v>
      </c>
      <c r="I166" s="64">
        <f>7.6317 * CHOOSE(CONTROL!$C$22, $C$13, 100%, $E$13)</f>
        <v>7.6317000000000004</v>
      </c>
      <c r="J166" s="64">
        <f>4.4481 * CHOOSE(CONTROL!$C$22, $C$13, 100%, $E$13)</f>
        <v>4.4481000000000002</v>
      </c>
      <c r="K166" s="64">
        <f>4.458 * CHOOSE(CONTROL!$C$22, $C$13, 100%, $E$13)</f>
        <v>4.4580000000000002</v>
      </c>
    </row>
    <row r="167" spans="1:11" ht="15">
      <c r="A167" s="13">
        <v>46569</v>
      </c>
      <c r="B167" s="63">
        <f>3.7587 * CHOOSE(CONTROL!$C$22, $C$13, 100%, $E$13)</f>
        <v>3.7587000000000002</v>
      </c>
      <c r="C167" s="63">
        <f>3.7587 * CHOOSE(CONTROL!$C$22, $C$13, 100%, $E$13)</f>
        <v>3.7587000000000002</v>
      </c>
      <c r="D167" s="63">
        <f>3.7668 * CHOOSE(CONTROL!$C$22, $C$13, 100%, $E$13)</f>
        <v>3.7667999999999999</v>
      </c>
      <c r="E167" s="64">
        <f>4.5253 * CHOOSE(CONTROL!$C$22, $C$13, 100%, $E$13)</f>
        <v>4.5252999999999997</v>
      </c>
      <c r="F167" s="64">
        <f>4.5253 * CHOOSE(CONTROL!$C$22, $C$13, 100%, $E$13)</f>
        <v>4.5252999999999997</v>
      </c>
      <c r="G167" s="64">
        <f>4.5351 * CHOOSE(CONTROL!$C$22, $C$13, 100%, $E$13)</f>
        <v>4.5350999999999999</v>
      </c>
      <c r="H167" s="64">
        <f>7.6377* CHOOSE(CONTROL!$C$22, $C$13, 100%, $E$13)</f>
        <v>7.6376999999999997</v>
      </c>
      <c r="I167" s="64">
        <f>7.6475 * CHOOSE(CONTROL!$C$22, $C$13, 100%, $E$13)</f>
        <v>7.6475</v>
      </c>
      <c r="J167" s="64">
        <f>4.5253 * CHOOSE(CONTROL!$C$22, $C$13, 100%, $E$13)</f>
        <v>4.5252999999999997</v>
      </c>
      <c r="K167" s="64">
        <f>4.5351 * CHOOSE(CONTROL!$C$22, $C$13, 100%, $E$13)</f>
        <v>4.5350999999999999</v>
      </c>
    </row>
    <row r="168" spans="1:11" ht="15">
      <c r="A168" s="13">
        <v>46600</v>
      </c>
      <c r="B168" s="63">
        <f>3.7654 * CHOOSE(CONTROL!$C$22, $C$13, 100%, $E$13)</f>
        <v>3.7654000000000001</v>
      </c>
      <c r="C168" s="63">
        <f>3.7654 * CHOOSE(CONTROL!$C$22, $C$13, 100%, $E$13)</f>
        <v>3.7654000000000001</v>
      </c>
      <c r="D168" s="63">
        <f>3.7735 * CHOOSE(CONTROL!$C$22, $C$13, 100%, $E$13)</f>
        <v>3.7734999999999999</v>
      </c>
      <c r="E168" s="64">
        <f>4.4633 * CHOOSE(CONTROL!$C$22, $C$13, 100%, $E$13)</f>
        <v>4.4633000000000003</v>
      </c>
      <c r="F168" s="64">
        <f>4.4633 * CHOOSE(CONTROL!$C$22, $C$13, 100%, $E$13)</f>
        <v>4.4633000000000003</v>
      </c>
      <c r="G168" s="64">
        <f>4.4731 * CHOOSE(CONTROL!$C$22, $C$13, 100%, $E$13)</f>
        <v>4.4730999999999996</v>
      </c>
      <c r="H168" s="64">
        <f>7.6536* CHOOSE(CONTROL!$C$22, $C$13, 100%, $E$13)</f>
        <v>7.6536</v>
      </c>
      <c r="I168" s="64">
        <f>7.6635 * CHOOSE(CONTROL!$C$22, $C$13, 100%, $E$13)</f>
        <v>7.6635</v>
      </c>
      <c r="J168" s="64">
        <f>4.4633 * CHOOSE(CONTROL!$C$22, $C$13, 100%, $E$13)</f>
        <v>4.4633000000000003</v>
      </c>
      <c r="K168" s="64">
        <f>4.4731 * CHOOSE(CONTROL!$C$22, $C$13, 100%, $E$13)</f>
        <v>4.4730999999999996</v>
      </c>
    </row>
    <row r="169" spans="1:11" ht="15">
      <c r="A169" s="13">
        <v>46631</v>
      </c>
      <c r="B169" s="63">
        <f>3.7623 * CHOOSE(CONTROL!$C$22, $C$13, 100%, $E$13)</f>
        <v>3.7623000000000002</v>
      </c>
      <c r="C169" s="63">
        <f>3.7623 * CHOOSE(CONTROL!$C$22, $C$13, 100%, $E$13)</f>
        <v>3.7623000000000002</v>
      </c>
      <c r="D169" s="63">
        <f>3.7704 * CHOOSE(CONTROL!$C$22, $C$13, 100%, $E$13)</f>
        <v>3.7704</v>
      </c>
      <c r="E169" s="64">
        <f>4.4538 * CHOOSE(CONTROL!$C$22, $C$13, 100%, $E$13)</f>
        <v>4.4538000000000002</v>
      </c>
      <c r="F169" s="64">
        <f>4.4538 * CHOOSE(CONTROL!$C$22, $C$13, 100%, $E$13)</f>
        <v>4.4538000000000002</v>
      </c>
      <c r="G169" s="64">
        <f>4.4636 * CHOOSE(CONTROL!$C$22, $C$13, 100%, $E$13)</f>
        <v>4.4635999999999996</v>
      </c>
      <c r="H169" s="64">
        <f>7.6696* CHOOSE(CONTROL!$C$22, $C$13, 100%, $E$13)</f>
        <v>7.6696</v>
      </c>
      <c r="I169" s="64">
        <f>7.6794 * CHOOSE(CONTROL!$C$22, $C$13, 100%, $E$13)</f>
        <v>7.6794000000000002</v>
      </c>
      <c r="J169" s="64">
        <f>4.4538 * CHOOSE(CONTROL!$C$22, $C$13, 100%, $E$13)</f>
        <v>4.4538000000000002</v>
      </c>
      <c r="K169" s="64">
        <f>4.4636 * CHOOSE(CONTROL!$C$22, $C$13, 100%, $E$13)</f>
        <v>4.4635999999999996</v>
      </c>
    </row>
    <row r="170" spans="1:11" ht="15">
      <c r="A170" s="13">
        <v>46661</v>
      </c>
      <c r="B170" s="63">
        <f>3.7564 * CHOOSE(CONTROL!$C$22, $C$13, 100%, $E$13)</f>
        <v>3.7564000000000002</v>
      </c>
      <c r="C170" s="63">
        <f>3.7564 * CHOOSE(CONTROL!$C$22, $C$13, 100%, $E$13)</f>
        <v>3.7564000000000002</v>
      </c>
      <c r="D170" s="63">
        <f>3.7564 * CHOOSE(CONTROL!$C$22, $C$13, 100%, $E$13)</f>
        <v>3.7564000000000002</v>
      </c>
      <c r="E170" s="64">
        <f>4.47 * CHOOSE(CONTROL!$C$22, $C$13, 100%, $E$13)</f>
        <v>4.47</v>
      </c>
      <c r="F170" s="64">
        <f>4.47 * CHOOSE(CONTROL!$C$22, $C$13, 100%, $E$13)</f>
        <v>4.47</v>
      </c>
      <c r="G170" s="64">
        <f>4.4701 * CHOOSE(CONTROL!$C$22, $C$13, 100%, $E$13)</f>
        <v>4.4701000000000004</v>
      </c>
      <c r="H170" s="64">
        <f>7.6855* CHOOSE(CONTROL!$C$22, $C$13, 100%, $E$13)</f>
        <v>7.6855000000000002</v>
      </c>
      <c r="I170" s="64">
        <f>7.6856 * CHOOSE(CONTROL!$C$22, $C$13, 100%, $E$13)</f>
        <v>7.6856</v>
      </c>
      <c r="J170" s="64">
        <f>4.47 * CHOOSE(CONTROL!$C$22, $C$13, 100%, $E$13)</f>
        <v>4.47</v>
      </c>
      <c r="K170" s="64">
        <f>4.4701 * CHOOSE(CONTROL!$C$22, $C$13, 100%, $E$13)</f>
        <v>4.4701000000000004</v>
      </c>
    </row>
    <row r="171" spans="1:11" ht="15">
      <c r="A171" s="13">
        <v>46692</v>
      </c>
      <c r="B171" s="63">
        <f>3.7595 * CHOOSE(CONTROL!$C$22, $C$13, 100%, $E$13)</f>
        <v>3.7595000000000001</v>
      </c>
      <c r="C171" s="63">
        <f>3.7595 * CHOOSE(CONTROL!$C$22, $C$13, 100%, $E$13)</f>
        <v>3.7595000000000001</v>
      </c>
      <c r="D171" s="63">
        <f>3.7595 * CHOOSE(CONTROL!$C$22, $C$13, 100%, $E$13)</f>
        <v>3.7595000000000001</v>
      </c>
      <c r="E171" s="64">
        <f>4.4869 * CHOOSE(CONTROL!$C$22, $C$13, 100%, $E$13)</f>
        <v>4.4869000000000003</v>
      </c>
      <c r="F171" s="64">
        <f>4.4869 * CHOOSE(CONTROL!$C$22, $C$13, 100%, $E$13)</f>
        <v>4.4869000000000003</v>
      </c>
      <c r="G171" s="64">
        <f>4.487 * CHOOSE(CONTROL!$C$22, $C$13, 100%, $E$13)</f>
        <v>4.4870000000000001</v>
      </c>
      <c r="H171" s="64">
        <f>7.7016* CHOOSE(CONTROL!$C$22, $C$13, 100%, $E$13)</f>
        <v>7.7016</v>
      </c>
      <c r="I171" s="64">
        <f>7.7016 * CHOOSE(CONTROL!$C$22, $C$13, 100%, $E$13)</f>
        <v>7.7016</v>
      </c>
      <c r="J171" s="64">
        <f>4.4869 * CHOOSE(CONTROL!$C$22, $C$13, 100%, $E$13)</f>
        <v>4.4869000000000003</v>
      </c>
      <c r="K171" s="64">
        <f>4.487 * CHOOSE(CONTROL!$C$22, $C$13, 100%, $E$13)</f>
        <v>4.4870000000000001</v>
      </c>
    </row>
    <row r="172" spans="1:11" ht="15">
      <c r="A172" s="13">
        <v>46722</v>
      </c>
      <c r="B172" s="63">
        <f>3.7595 * CHOOSE(CONTROL!$C$22, $C$13, 100%, $E$13)</f>
        <v>3.7595000000000001</v>
      </c>
      <c r="C172" s="63">
        <f>3.7595 * CHOOSE(CONTROL!$C$22, $C$13, 100%, $E$13)</f>
        <v>3.7595000000000001</v>
      </c>
      <c r="D172" s="63">
        <f>3.7595 * CHOOSE(CONTROL!$C$22, $C$13, 100%, $E$13)</f>
        <v>3.7595000000000001</v>
      </c>
      <c r="E172" s="64">
        <f>4.4499 * CHOOSE(CONTROL!$C$22, $C$13, 100%, $E$13)</f>
        <v>4.4499000000000004</v>
      </c>
      <c r="F172" s="64">
        <f>4.4499 * CHOOSE(CONTROL!$C$22, $C$13, 100%, $E$13)</f>
        <v>4.4499000000000004</v>
      </c>
      <c r="G172" s="64">
        <f>4.45 * CHOOSE(CONTROL!$C$22, $C$13, 100%, $E$13)</f>
        <v>4.45</v>
      </c>
      <c r="H172" s="64">
        <f>7.7176* CHOOSE(CONTROL!$C$22, $C$13, 100%, $E$13)</f>
        <v>7.7176</v>
      </c>
      <c r="I172" s="64">
        <f>7.7177 * CHOOSE(CONTROL!$C$22, $C$13, 100%, $E$13)</f>
        <v>7.7176999999999998</v>
      </c>
      <c r="J172" s="64">
        <f>4.4499 * CHOOSE(CONTROL!$C$22, $C$13, 100%, $E$13)</f>
        <v>4.4499000000000004</v>
      </c>
      <c r="K172" s="64">
        <f>4.45 * CHOOSE(CONTROL!$C$22, $C$13, 100%, $E$13)</f>
        <v>4.45</v>
      </c>
    </row>
    <row r="173" spans="1:11" ht="15">
      <c r="A173" s="13">
        <v>46753</v>
      </c>
      <c r="B173" s="63">
        <f>3.7926 * CHOOSE(CONTROL!$C$22, $C$13, 100%, $E$13)</f>
        <v>3.7926000000000002</v>
      </c>
      <c r="C173" s="63">
        <f>3.7926 * CHOOSE(CONTROL!$C$22, $C$13, 100%, $E$13)</f>
        <v>3.7926000000000002</v>
      </c>
      <c r="D173" s="63">
        <f>3.7926 * CHOOSE(CONTROL!$C$22, $C$13, 100%, $E$13)</f>
        <v>3.7926000000000002</v>
      </c>
      <c r="E173" s="64">
        <f>4.5119 * CHOOSE(CONTROL!$C$22, $C$13, 100%, $E$13)</f>
        <v>4.5118999999999998</v>
      </c>
      <c r="F173" s="64">
        <f>4.5119 * CHOOSE(CONTROL!$C$22, $C$13, 100%, $E$13)</f>
        <v>4.5118999999999998</v>
      </c>
      <c r="G173" s="64">
        <f>4.512 * CHOOSE(CONTROL!$C$22, $C$13, 100%, $E$13)</f>
        <v>4.5119999999999996</v>
      </c>
      <c r="H173" s="64">
        <f>7.7337* CHOOSE(CONTROL!$C$22, $C$13, 100%, $E$13)</f>
        <v>7.7336999999999998</v>
      </c>
      <c r="I173" s="64">
        <f>7.7338 * CHOOSE(CONTROL!$C$22, $C$13, 100%, $E$13)</f>
        <v>7.7337999999999996</v>
      </c>
      <c r="J173" s="64">
        <f>4.5119 * CHOOSE(CONTROL!$C$22, $C$13, 100%, $E$13)</f>
        <v>4.5118999999999998</v>
      </c>
      <c r="K173" s="64">
        <f>4.512 * CHOOSE(CONTROL!$C$22, $C$13, 100%, $E$13)</f>
        <v>4.5119999999999996</v>
      </c>
    </row>
    <row r="174" spans="1:11" ht="15">
      <c r="A174" s="13">
        <v>46784</v>
      </c>
      <c r="B174" s="63">
        <f>3.7896 * CHOOSE(CONTROL!$C$22, $C$13, 100%, $E$13)</f>
        <v>3.7896000000000001</v>
      </c>
      <c r="C174" s="63">
        <f>3.7896 * CHOOSE(CONTROL!$C$22, $C$13, 100%, $E$13)</f>
        <v>3.7896000000000001</v>
      </c>
      <c r="D174" s="63">
        <f>3.7896 * CHOOSE(CONTROL!$C$22, $C$13, 100%, $E$13)</f>
        <v>3.7896000000000001</v>
      </c>
      <c r="E174" s="64">
        <f>4.438 * CHOOSE(CONTROL!$C$22, $C$13, 100%, $E$13)</f>
        <v>4.4379999999999997</v>
      </c>
      <c r="F174" s="64">
        <f>4.438 * CHOOSE(CONTROL!$C$22, $C$13, 100%, $E$13)</f>
        <v>4.4379999999999997</v>
      </c>
      <c r="G174" s="64">
        <f>4.4381 * CHOOSE(CONTROL!$C$22, $C$13, 100%, $E$13)</f>
        <v>4.4381000000000004</v>
      </c>
      <c r="H174" s="64">
        <f>7.7498* CHOOSE(CONTROL!$C$22, $C$13, 100%, $E$13)</f>
        <v>7.7497999999999996</v>
      </c>
      <c r="I174" s="64">
        <f>7.7499 * CHOOSE(CONTROL!$C$22, $C$13, 100%, $E$13)</f>
        <v>7.7499000000000002</v>
      </c>
      <c r="J174" s="64">
        <f>4.438 * CHOOSE(CONTROL!$C$22, $C$13, 100%, $E$13)</f>
        <v>4.4379999999999997</v>
      </c>
      <c r="K174" s="64">
        <f>4.4381 * CHOOSE(CONTROL!$C$22, $C$13, 100%, $E$13)</f>
        <v>4.4381000000000004</v>
      </c>
    </row>
    <row r="175" spans="1:11" ht="15">
      <c r="A175" s="13">
        <v>46813</v>
      </c>
      <c r="B175" s="63">
        <f>3.7865 * CHOOSE(CONTROL!$C$22, $C$13, 100%, $E$13)</f>
        <v>3.7865000000000002</v>
      </c>
      <c r="C175" s="63">
        <f>3.7865 * CHOOSE(CONTROL!$C$22, $C$13, 100%, $E$13)</f>
        <v>3.7865000000000002</v>
      </c>
      <c r="D175" s="63">
        <f>3.7865 * CHOOSE(CONTROL!$C$22, $C$13, 100%, $E$13)</f>
        <v>3.7865000000000002</v>
      </c>
      <c r="E175" s="64">
        <f>4.4925 * CHOOSE(CONTROL!$C$22, $C$13, 100%, $E$13)</f>
        <v>4.4924999999999997</v>
      </c>
      <c r="F175" s="64">
        <f>4.4925 * CHOOSE(CONTROL!$C$22, $C$13, 100%, $E$13)</f>
        <v>4.4924999999999997</v>
      </c>
      <c r="G175" s="64">
        <f>4.4926 * CHOOSE(CONTROL!$C$22, $C$13, 100%, $E$13)</f>
        <v>4.4926000000000004</v>
      </c>
      <c r="H175" s="64">
        <f>7.7659* CHOOSE(CONTROL!$C$22, $C$13, 100%, $E$13)</f>
        <v>7.7659000000000002</v>
      </c>
      <c r="I175" s="64">
        <f>7.766 * CHOOSE(CONTROL!$C$22, $C$13, 100%, $E$13)</f>
        <v>7.766</v>
      </c>
      <c r="J175" s="64">
        <f>4.4925 * CHOOSE(CONTROL!$C$22, $C$13, 100%, $E$13)</f>
        <v>4.4924999999999997</v>
      </c>
      <c r="K175" s="64">
        <f>4.4926 * CHOOSE(CONTROL!$C$22, $C$13, 100%, $E$13)</f>
        <v>4.4926000000000004</v>
      </c>
    </row>
    <row r="176" spans="1:11" ht="15">
      <c r="A176" s="13">
        <v>46844</v>
      </c>
      <c r="B176" s="63">
        <f>3.7839 * CHOOSE(CONTROL!$C$22, $C$13, 100%, $E$13)</f>
        <v>3.7839</v>
      </c>
      <c r="C176" s="63">
        <f>3.7839 * CHOOSE(CONTROL!$C$22, $C$13, 100%, $E$13)</f>
        <v>3.7839</v>
      </c>
      <c r="D176" s="63">
        <f>3.7839 * CHOOSE(CONTROL!$C$22, $C$13, 100%, $E$13)</f>
        <v>3.7839</v>
      </c>
      <c r="E176" s="64">
        <f>4.549 * CHOOSE(CONTROL!$C$22, $C$13, 100%, $E$13)</f>
        <v>4.5490000000000004</v>
      </c>
      <c r="F176" s="64">
        <f>4.549 * CHOOSE(CONTROL!$C$22, $C$13, 100%, $E$13)</f>
        <v>4.5490000000000004</v>
      </c>
      <c r="G176" s="64">
        <f>4.5491 * CHOOSE(CONTROL!$C$22, $C$13, 100%, $E$13)</f>
        <v>4.5491000000000001</v>
      </c>
      <c r="H176" s="64">
        <f>7.7821* CHOOSE(CONTROL!$C$22, $C$13, 100%, $E$13)</f>
        <v>7.7820999999999998</v>
      </c>
      <c r="I176" s="64">
        <f>7.7822 * CHOOSE(CONTROL!$C$22, $C$13, 100%, $E$13)</f>
        <v>7.7821999999999996</v>
      </c>
      <c r="J176" s="64">
        <f>4.549 * CHOOSE(CONTROL!$C$22, $C$13, 100%, $E$13)</f>
        <v>4.5490000000000004</v>
      </c>
      <c r="K176" s="64">
        <f>4.5491 * CHOOSE(CONTROL!$C$22, $C$13, 100%, $E$13)</f>
        <v>4.5491000000000001</v>
      </c>
    </row>
    <row r="177" spans="1:11" ht="15">
      <c r="A177" s="13">
        <v>46874</v>
      </c>
      <c r="B177" s="63">
        <f>3.7839 * CHOOSE(CONTROL!$C$22, $C$13, 100%, $E$13)</f>
        <v>3.7839</v>
      </c>
      <c r="C177" s="63">
        <f>3.7839 * CHOOSE(CONTROL!$C$22, $C$13, 100%, $E$13)</f>
        <v>3.7839</v>
      </c>
      <c r="D177" s="63">
        <f>3.7921 * CHOOSE(CONTROL!$C$22, $C$13, 100%, $E$13)</f>
        <v>3.7921</v>
      </c>
      <c r="E177" s="64">
        <f>4.5718 * CHOOSE(CONTROL!$C$22, $C$13, 100%, $E$13)</f>
        <v>4.5717999999999996</v>
      </c>
      <c r="F177" s="64">
        <f>4.5718 * CHOOSE(CONTROL!$C$22, $C$13, 100%, $E$13)</f>
        <v>4.5717999999999996</v>
      </c>
      <c r="G177" s="64">
        <f>4.5816 * CHOOSE(CONTROL!$C$22, $C$13, 100%, $E$13)</f>
        <v>4.5815999999999999</v>
      </c>
      <c r="H177" s="64">
        <f>7.7983* CHOOSE(CONTROL!$C$22, $C$13, 100%, $E$13)</f>
        <v>7.7983000000000002</v>
      </c>
      <c r="I177" s="64">
        <f>7.8082 * CHOOSE(CONTROL!$C$22, $C$13, 100%, $E$13)</f>
        <v>7.8082000000000003</v>
      </c>
      <c r="J177" s="64">
        <f>4.5718 * CHOOSE(CONTROL!$C$22, $C$13, 100%, $E$13)</f>
        <v>4.5717999999999996</v>
      </c>
      <c r="K177" s="64">
        <f>4.5816 * CHOOSE(CONTROL!$C$22, $C$13, 100%, $E$13)</f>
        <v>4.5815999999999999</v>
      </c>
    </row>
    <row r="178" spans="1:11" ht="15">
      <c r="A178" s="13">
        <v>46905</v>
      </c>
      <c r="B178" s="63">
        <f>3.79 * CHOOSE(CONTROL!$C$22, $C$13, 100%, $E$13)</f>
        <v>3.79</v>
      </c>
      <c r="C178" s="63">
        <f>3.79 * CHOOSE(CONTROL!$C$22, $C$13, 100%, $E$13)</f>
        <v>3.79</v>
      </c>
      <c r="D178" s="63">
        <f>3.7981 * CHOOSE(CONTROL!$C$22, $C$13, 100%, $E$13)</f>
        <v>3.7980999999999998</v>
      </c>
      <c r="E178" s="64">
        <f>4.5532 * CHOOSE(CONTROL!$C$22, $C$13, 100%, $E$13)</f>
        <v>4.5532000000000004</v>
      </c>
      <c r="F178" s="64">
        <f>4.5532 * CHOOSE(CONTROL!$C$22, $C$13, 100%, $E$13)</f>
        <v>4.5532000000000004</v>
      </c>
      <c r="G178" s="64">
        <f>4.5631 * CHOOSE(CONTROL!$C$22, $C$13, 100%, $E$13)</f>
        <v>4.5631000000000004</v>
      </c>
      <c r="H178" s="64">
        <f>7.8146* CHOOSE(CONTROL!$C$22, $C$13, 100%, $E$13)</f>
        <v>7.8146000000000004</v>
      </c>
      <c r="I178" s="64">
        <f>7.8244 * CHOOSE(CONTROL!$C$22, $C$13, 100%, $E$13)</f>
        <v>7.8243999999999998</v>
      </c>
      <c r="J178" s="64">
        <f>4.5532 * CHOOSE(CONTROL!$C$22, $C$13, 100%, $E$13)</f>
        <v>4.5532000000000004</v>
      </c>
      <c r="K178" s="64">
        <f>4.5631 * CHOOSE(CONTROL!$C$22, $C$13, 100%, $E$13)</f>
        <v>4.5631000000000004</v>
      </c>
    </row>
    <row r="179" spans="1:11" ht="15">
      <c r="A179" s="13">
        <v>46935</v>
      </c>
      <c r="B179" s="63">
        <f>3.8518 * CHOOSE(CONTROL!$C$22, $C$13, 100%, $E$13)</f>
        <v>3.8517999999999999</v>
      </c>
      <c r="C179" s="63">
        <f>3.8518 * CHOOSE(CONTROL!$C$22, $C$13, 100%, $E$13)</f>
        <v>3.8517999999999999</v>
      </c>
      <c r="D179" s="63">
        <f>3.8599 * CHOOSE(CONTROL!$C$22, $C$13, 100%, $E$13)</f>
        <v>3.8599000000000001</v>
      </c>
      <c r="E179" s="64">
        <f>4.6316 * CHOOSE(CONTROL!$C$22, $C$13, 100%, $E$13)</f>
        <v>4.6315999999999997</v>
      </c>
      <c r="F179" s="64">
        <f>4.6316 * CHOOSE(CONTROL!$C$22, $C$13, 100%, $E$13)</f>
        <v>4.6315999999999997</v>
      </c>
      <c r="G179" s="64">
        <f>4.6414 * CHOOSE(CONTROL!$C$22, $C$13, 100%, $E$13)</f>
        <v>4.6414</v>
      </c>
      <c r="H179" s="64">
        <f>7.8309* CHOOSE(CONTROL!$C$22, $C$13, 100%, $E$13)</f>
        <v>7.8308999999999997</v>
      </c>
      <c r="I179" s="64">
        <f>7.8407 * CHOOSE(CONTROL!$C$22, $C$13, 100%, $E$13)</f>
        <v>7.8407</v>
      </c>
      <c r="J179" s="64">
        <f>4.6316 * CHOOSE(CONTROL!$C$22, $C$13, 100%, $E$13)</f>
        <v>4.6315999999999997</v>
      </c>
      <c r="K179" s="64">
        <f>4.6414 * CHOOSE(CONTROL!$C$22, $C$13, 100%, $E$13)</f>
        <v>4.6414</v>
      </c>
    </row>
    <row r="180" spans="1:11" ht="15">
      <c r="A180" s="13">
        <v>46966</v>
      </c>
      <c r="B180" s="63">
        <f>3.8585 * CHOOSE(CONTROL!$C$22, $C$13, 100%, $E$13)</f>
        <v>3.8584999999999998</v>
      </c>
      <c r="C180" s="63">
        <f>3.8585 * CHOOSE(CONTROL!$C$22, $C$13, 100%, $E$13)</f>
        <v>3.8584999999999998</v>
      </c>
      <c r="D180" s="63">
        <f>3.8666 * CHOOSE(CONTROL!$C$22, $C$13, 100%, $E$13)</f>
        <v>3.8666</v>
      </c>
      <c r="E180" s="64">
        <f>4.5679 * CHOOSE(CONTROL!$C$22, $C$13, 100%, $E$13)</f>
        <v>4.5678999999999998</v>
      </c>
      <c r="F180" s="64">
        <f>4.5679 * CHOOSE(CONTROL!$C$22, $C$13, 100%, $E$13)</f>
        <v>4.5678999999999998</v>
      </c>
      <c r="G180" s="64">
        <f>4.5777 * CHOOSE(CONTROL!$C$22, $C$13, 100%, $E$13)</f>
        <v>4.5777000000000001</v>
      </c>
      <c r="H180" s="64">
        <f>7.8472* CHOOSE(CONTROL!$C$22, $C$13, 100%, $E$13)</f>
        <v>7.8472</v>
      </c>
      <c r="I180" s="64">
        <f>7.857 * CHOOSE(CONTROL!$C$22, $C$13, 100%, $E$13)</f>
        <v>7.8570000000000002</v>
      </c>
      <c r="J180" s="64">
        <f>4.5679 * CHOOSE(CONTROL!$C$22, $C$13, 100%, $E$13)</f>
        <v>4.5678999999999998</v>
      </c>
      <c r="K180" s="64">
        <f>4.5777 * CHOOSE(CONTROL!$C$22, $C$13, 100%, $E$13)</f>
        <v>4.5777000000000001</v>
      </c>
    </row>
    <row r="181" spans="1:11" ht="15">
      <c r="A181" s="13">
        <v>46997</v>
      </c>
      <c r="B181" s="63">
        <f>3.8554 * CHOOSE(CONTROL!$C$22, $C$13, 100%, $E$13)</f>
        <v>3.8553999999999999</v>
      </c>
      <c r="C181" s="63">
        <f>3.8554 * CHOOSE(CONTROL!$C$22, $C$13, 100%, $E$13)</f>
        <v>3.8553999999999999</v>
      </c>
      <c r="D181" s="63">
        <f>3.8635 * CHOOSE(CONTROL!$C$22, $C$13, 100%, $E$13)</f>
        <v>3.8635000000000002</v>
      </c>
      <c r="E181" s="64">
        <f>4.5582 * CHOOSE(CONTROL!$C$22, $C$13, 100%, $E$13)</f>
        <v>4.5582000000000003</v>
      </c>
      <c r="F181" s="64">
        <f>4.5582 * CHOOSE(CONTROL!$C$22, $C$13, 100%, $E$13)</f>
        <v>4.5582000000000003</v>
      </c>
      <c r="G181" s="64">
        <f>4.568 * CHOOSE(CONTROL!$C$22, $C$13, 100%, $E$13)</f>
        <v>4.5679999999999996</v>
      </c>
      <c r="H181" s="64">
        <f>7.8635* CHOOSE(CONTROL!$C$22, $C$13, 100%, $E$13)</f>
        <v>7.8635000000000002</v>
      </c>
      <c r="I181" s="64">
        <f>7.8733 * CHOOSE(CONTROL!$C$22, $C$13, 100%, $E$13)</f>
        <v>7.8733000000000004</v>
      </c>
      <c r="J181" s="64">
        <f>4.5582 * CHOOSE(CONTROL!$C$22, $C$13, 100%, $E$13)</f>
        <v>4.5582000000000003</v>
      </c>
      <c r="K181" s="64">
        <f>4.568 * CHOOSE(CONTROL!$C$22, $C$13, 100%, $E$13)</f>
        <v>4.5679999999999996</v>
      </c>
    </row>
    <row r="182" spans="1:11" ht="15">
      <c r="A182" s="13">
        <v>47027</v>
      </c>
      <c r="B182" s="63">
        <f>3.8498 * CHOOSE(CONTROL!$C$22, $C$13, 100%, $E$13)</f>
        <v>3.8498000000000001</v>
      </c>
      <c r="C182" s="63">
        <f>3.8498 * CHOOSE(CONTROL!$C$22, $C$13, 100%, $E$13)</f>
        <v>3.8498000000000001</v>
      </c>
      <c r="D182" s="63">
        <f>3.8499 * CHOOSE(CONTROL!$C$22, $C$13, 100%, $E$13)</f>
        <v>3.8498999999999999</v>
      </c>
      <c r="E182" s="64">
        <f>4.5751 * CHOOSE(CONTROL!$C$22, $C$13, 100%, $E$13)</f>
        <v>4.5750999999999999</v>
      </c>
      <c r="F182" s="64">
        <f>4.5751 * CHOOSE(CONTROL!$C$22, $C$13, 100%, $E$13)</f>
        <v>4.5750999999999999</v>
      </c>
      <c r="G182" s="64">
        <f>4.5752 * CHOOSE(CONTROL!$C$22, $C$13, 100%, $E$13)</f>
        <v>4.5751999999999997</v>
      </c>
      <c r="H182" s="64">
        <f>7.8799* CHOOSE(CONTROL!$C$22, $C$13, 100%, $E$13)</f>
        <v>7.8799000000000001</v>
      </c>
      <c r="I182" s="64">
        <f>7.88 * CHOOSE(CONTROL!$C$22, $C$13, 100%, $E$13)</f>
        <v>7.88</v>
      </c>
      <c r="J182" s="64">
        <f>4.5751 * CHOOSE(CONTROL!$C$22, $C$13, 100%, $E$13)</f>
        <v>4.5750999999999999</v>
      </c>
      <c r="K182" s="64">
        <f>4.5752 * CHOOSE(CONTROL!$C$22, $C$13, 100%, $E$13)</f>
        <v>4.5751999999999997</v>
      </c>
    </row>
    <row r="183" spans="1:11" ht="15">
      <c r="A183" s="13">
        <v>47058</v>
      </c>
      <c r="B183" s="63">
        <f>3.8529 * CHOOSE(CONTROL!$C$22, $C$13, 100%, $E$13)</f>
        <v>3.8529</v>
      </c>
      <c r="C183" s="63">
        <f>3.8529 * CHOOSE(CONTROL!$C$22, $C$13, 100%, $E$13)</f>
        <v>3.8529</v>
      </c>
      <c r="D183" s="63">
        <f>3.8529 * CHOOSE(CONTROL!$C$22, $C$13, 100%, $E$13)</f>
        <v>3.8529</v>
      </c>
      <c r="E183" s="64">
        <f>4.5924 * CHOOSE(CONTROL!$C$22, $C$13, 100%, $E$13)</f>
        <v>4.5923999999999996</v>
      </c>
      <c r="F183" s="64">
        <f>4.5924 * CHOOSE(CONTROL!$C$22, $C$13, 100%, $E$13)</f>
        <v>4.5923999999999996</v>
      </c>
      <c r="G183" s="64">
        <f>4.5925 * CHOOSE(CONTROL!$C$22, $C$13, 100%, $E$13)</f>
        <v>4.5925000000000002</v>
      </c>
      <c r="H183" s="64">
        <f>7.8963* CHOOSE(CONTROL!$C$22, $C$13, 100%, $E$13)</f>
        <v>7.8963000000000001</v>
      </c>
      <c r="I183" s="64">
        <f>7.8964 * CHOOSE(CONTROL!$C$22, $C$13, 100%, $E$13)</f>
        <v>7.8963999999999999</v>
      </c>
      <c r="J183" s="64">
        <f>4.5924 * CHOOSE(CONTROL!$C$22, $C$13, 100%, $E$13)</f>
        <v>4.5923999999999996</v>
      </c>
      <c r="K183" s="64">
        <f>4.5925 * CHOOSE(CONTROL!$C$22, $C$13, 100%, $E$13)</f>
        <v>4.5925000000000002</v>
      </c>
    </row>
    <row r="184" spans="1:11" ht="15">
      <c r="A184" s="13">
        <v>47088</v>
      </c>
      <c r="B184" s="63">
        <f>3.8529 * CHOOSE(CONTROL!$C$22, $C$13, 100%, $E$13)</f>
        <v>3.8529</v>
      </c>
      <c r="C184" s="63">
        <f>3.8529 * CHOOSE(CONTROL!$C$22, $C$13, 100%, $E$13)</f>
        <v>3.8529</v>
      </c>
      <c r="D184" s="63">
        <f>3.8529 * CHOOSE(CONTROL!$C$22, $C$13, 100%, $E$13)</f>
        <v>3.8529</v>
      </c>
      <c r="E184" s="64">
        <f>4.5545 * CHOOSE(CONTROL!$C$22, $C$13, 100%, $E$13)</f>
        <v>4.5545</v>
      </c>
      <c r="F184" s="64">
        <f>4.5545 * CHOOSE(CONTROL!$C$22, $C$13, 100%, $E$13)</f>
        <v>4.5545</v>
      </c>
      <c r="G184" s="64">
        <f>4.5546 * CHOOSE(CONTROL!$C$22, $C$13, 100%, $E$13)</f>
        <v>4.5545999999999998</v>
      </c>
      <c r="H184" s="64">
        <f>7.9128* CHOOSE(CONTROL!$C$22, $C$13, 100%, $E$13)</f>
        <v>7.9127999999999998</v>
      </c>
      <c r="I184" s="64">
        <f>7.9128 * CHOOSE(CONTROL!$C$22, $C$13, 100%, $E$13)</f>
        <v>7.9127999999999998</v>
      </c>
      <c r="J184" s="64">
        <f>4.5545 * CHOOSE(CONTROL!$C$22, $C$13, 100%, $E$13)</f>
        <v>4.5545</v>
      </c>
      <c r="K184" s="64">
        <f>4.5546 * CHOOSE(CONTROL!$C$22, $C$13, 100%, $E$13)</f>
        <v>4.5545999999999998</v>
      </c>
    </row>
    <row r="185" spans="1:11" ht="15">
      <c r="A185" s="13">
        <v>47119</v>
      </c>
      <c r="B185" s="63">
        <f>3.8828 * CHOOSE(CONTROL!$C$22, $C$13, 100%, $E$13)</f>
        <v>3.8828</v>
      </c>
      <c r="C185" s="63">
        <f>3.8828 * CHOOSE(CONTROL!$C$22, $C$13, 100%, $E$13)</f>
        <v>3.8828</v>
      </c>
      <c r="D185" s="63">
        <f>3.8828 * CHOOSE(CONTROL!$C$22, $C$13, 100%, $E$13)</f>
        <v>3.8828</v>
      </c>
      <c r="E185" s="64">
        <f>4.6181 * CHOOSE(CONTROL!$C$22, $C$13, 100%, $E$13)</f>
        <v>4.6181000000000001</v>
      </c>
      <c r="F185" s="64">
        <f>4.6181 * CHOOSE(CONTROL!$C$22, $C$13, 100%, $E$13)</f>
        <v>4.6181000000000001</v>
      </c>
      <c r="G185" s="64">
        <f>4.6182 * CHOOSE(CONTROL!$C$22, $C$13, 100%, $E$13)</f>
        <v>4.6181999999999999</v>
      </c>
      <c r="H185" s="64">
        <f>7.9293* CHOOSE(CONTROL!$C$22, $C$13, 100%, $E$13)</f>
        <v>7.9292999999999996</v>
      </c>
      <c r="I185" s="64">
        <f>7.9293 * CHOOSE(CONTROL!$C$22, $C$13, 100%, $E$13)</f>
        <v>7.9292999999999996</v>
      </c>
      <c r="J185" s="64">
        <f>4.6181 * CHOOSE(CONTROL!$C$22, $C$13, 100%, $E$13)</f>
        <v>4.6181000000000001</v>
      </c>
      <c r="K185" s="64">
        <f>4.6182 * CHOOSE(CONTROL!$C$22, $C$13, 100%, $E$13)</f>
        <v>4.6181999999999999</v>
      </c>
    </row>
    <row r="186" spans="1:11" ht="15">
      <c r="A186" s="13">
        <v>47150</v>
      </c>
      <c r="B186" s="63">
        <f>3.8798 * CHOOSE(CONTROL!$C$22, $C$13, 100%, $E$13)</f>
        <v>3.8797999999999999</v>
      </c>
      <c r="C186" s="63">
        <f>3.8798 * CHOOSE(CONTROL!$C$22, $C$13, 100%, $E$13)</f>
        <v>3.8797999999999999</v>
      </c>
      <c r="D186" s="63">
        <f>3.8798 * CHOOSE(CONTROL!$C$22, $C$13, 100%, $E$13)</f>
        <v>3.8797999999999999</v>
      </c>
      <c r="E186" s="64">
        <f>4.5424 * CHOOSE(CONTROL!$C$22, $C$13, 100%, $E$13)</f>
        <v>4.5423999999999998</v>
      </c>
      <c r="F186" s="64">
        <f>4.5424 * CHOOSE(CONTROL!$C$22, $C$13, 100%, $E$13)</f>
        <v>4.5423999999999998</v>
      </c>
      <c r="G186" s="64">
        <f>4.5425 * CHOOSE(CONTROL!$C$22, $C$13, 100%, $E$13)</f>
        <v>4.5425000000000004</v>
      </c>
      <c r="H186" s="64">
        <f>7.9458* CHOOSE(CONTROL!$C$22, $C$13, 100%, $E$13)</f>
        <v>7.9458000000000002</v>
      </c>
      <c r="I186" s="64">
        <f>7.9459 * CHOOSE(CONTROL!$C$22, $C$13, 100%, $E$13)</f>
        <v>7.9459</v>
      </c>
      <c r="J186" s="64">
        <f>4.5424 * CHOOSE(CONTROL!$C$22, $C$13, 100%, $E$13)</f>
        <v>4.5423999999999998</v>
      </c>
      <c r="K186" s="64">
        <f>4.5425 * CHOOSE(CONTROL!$C$22, $C$13, 100%, $E$13)</f>
        <v>4.5425000000000004</v>
      </c>
    </row>
    <row r="187" spans="1:11" ht="15">
      <c r="A187" s="13">
        <v>47178</v>
      </c>
      <c r="B187" s="63">
        <f>3.8767 * CHOOSE(CONTROL!$C$22, $C$13, 100%, $E$13)</f>
        <v>3.8767</v>
      </c>
      <c r="C187" s="63">
        <f>3.8767 * CHOOSE(CONTROL!$C$22, $C$13, 100%, $E$13)</f>
        <v>3.8767</v>
      </c>
      <c r="D187" s="63">
        <f>3.8768 * CHOOSE(CONTROL!$C$22, $C$13, 100%, $E$13)</f>
        <v>3.8767999999999998</v>
      </c>
      <c r="E187" s="64">
        <f>4.5983 * CHOOSE(CONTROL!$C$22, $C$13, 100%, $E$13)</f>
        <v>4.5983000000000001</v>
      </c>
      <c r="F187" s="64">
        <f>4.5983 * CHOOSE(CONTROL!$C$22, $C$13, 100%, $E$13)</f>
        <v>4.5983000000000001</v>
      </c>
      <c r="G187" s="64">
        <f>4.5984 * CHOOSE(CONTROL!$C$22, $C$13, 100%, $E$13)</f>
        <v>4.5983999999999998</v>
      </c>
      <c r="H187" s="64">
        <f>7.9623* CHOOSE(CONTROL!$C$22, $C$13, 100%, $E$13)</f>
        <v>7.9622999999999999</v>
      </c>
      <c r="I187" s="64">
        <f>7.9624 * CHOOSE(CONTROL!$C$22, $C$13, 100%, $E$13)</f>
        <v>7.9623999999999997</v>
      </c>
      <c r="J187" s="64">
        <f>4.5983 * CHOOSE(CONTROL!$C$22, $C$13, 100%, $E$13)</f>
        <v>4.5983000000000001</v>
      </c>
      <c r="K187" s="64">
        <f>4.5984 * CHOOSE(CONTROL!$C$22, $C$13, 100%, $E$13)</f>
        <v>4.5983999999999998</v>
      </c>
    </row>
    <row r="188" spans="1:11" ht="15">
      <c r="A188" s="13">
        <v>47209</v>
      </c>
      <c r="B188" s="63">
        <f>3.8743 * CHOOSE(CONTROL!$C$22, $C$13, 100%, $E$13)</f>
        <v>3.8742999999999999</v>
      </c>
      <c r="C188" s="63">
        <f>3.8743 * CHOOSE(CONTROL!$C$22, $C$13, 100%, $E$13)</f>
        <v>3.8742999999999999</v>
      </c>
      <c r="D188" s="63">
        <f>3.8743 * CHOOSE(CONTROL!$C$22, $C$13, 100%, $E$13)</f>
        <v>3.8742999999999999</v>
      </c>
      <c r="E188" s="64">
        <f>4.6563 * CHOOSE(CONTROL!$C$22, $C$13, 100%, $E$13)</f>
        <v>4.6562999999999999</v>
      </c>
      <c r="F188" s="64">
        <f>4.6563 * CHOOSE(CONTROL!$C$22, $C$13, 100%, $E$13)</f>
        <v>4.6562999999999999</v>
      </c>
      <c r="G188" s="64">
        <f>4.6564 * CHOOSE(CONTROL!$C$22, $C$13, 100%, $E$13)</f>
        <v>4.6563999999999997</v>
      </c>
      <c r="H188" s="64">
        <f>7.9789* CHOOSE(CONTROL!$C$22, $C$13, 100%, $E$13)</f>
        <v>7.9789000000000003</v>
      </c>
      <c r="I188" s="64">
        <f>7.979 * CHOOSE(CONTROL!$C$22, $C$13, 100%, $E$13)</f>
        <v>7.9790000000000001</v>
      </c>
      <c r="J188" s="64">
        <f>4.6563 * CHOOSE(CONTROL!$C$22, $C$13, 100%, $E$13)</f>
        <v>4.6562999999999999</v>
      </c>
      <c r="K188" s="64">
        <f>4.6564 * CHOOSE(CONTROL!$C$22, $C$13, 100%, $E$13)</f>
        <v>4.6563999999999997</v>
      </c>
    </row>
    <row r="189" spans="1:11" ht="15">
      <c r="A189" s="13">
        <v>47239</v>
      </c>
      <c r="B189" s="63">
        <f>3.8743 * CHOOSE(CONTROL!$C$22, $C$13, 100%, $E$13)</f>
        <v>3.8742999999999999</v>
      </c>
      <c r="C189" s="63">
        <f>3.8743 * CHOOSE(CONTROL!$C$22, $C$13, 100%, $E$13)</f>
        <v>3.8742999999999999</v>
      </c>
      <c r="D189" s="63">
        <f>3.8824 * CHOOSE(CONTROL!$C$22, $C$13, 100%, $E$13)</f>
        <v>3.8824000000000001</v>
      </c>
      <c r="E189" s="64">
        <f>4.6797 * CHOOSE(CONTROL!$C$22, $C$13, 100%, $E$13)</f>
        <v>4.6797000000000004</v>
      </c>
      <c r="F189" s="64">
        <f>4.6797 * CHOOSE(CONTROL!$C$22, $C$13, 100%, $E$13)</f>
        <v>4.6797000000000004</v>
      </c>
      <c r="G189" s="64">
        <f>4.6895 * CHOOSE(CONTROL!$C$22, $C$13, 100%, $E$13)</f>
        <v>4.6894999999999998</v>
      </c>
      <c r="H189" s="64">
        <f>7.9955* CHOOSE(CONTROL!$C$22, $C$13, 100%, $E$13)</f>
        <v>7.9954999999999998</v>
      </c>
      <c r="I189" s="64">
        <f>8.0054 * CHOOSE(CONTROL!$C$22, $C$13, 100%, $E$13)</f>
        <v>8.0053999999999998</v>
      </c>
      <c r="J189" s="64">
        <f>4.6797 * CHOOSE(CONTROL!$C$22, $C$13, 100%, $E$13)</f>
        <v>4.6797000000000004</v>
      </c>
      <c r="K189" s="64">
        <f>4.6895 * CHOOSE(CONTROL!$C$22, $C$13, 100%, $E$13)</f>
        <v>4.6894999999999998</v>
      </c>
    </row>
    <row r="190" spans="1:11" ht="15">
      <c r="A190" s="13">
        <v>47270</v>
      </c>
      <c r="B190" s="63">
        <f>3.8803 * CHOOSE(CONTROL!$C$22, $C$13, 100%, $E$13)</f>
        <v>3.8803000000000001</v>
      </c>
      <c r="C190" s="63">
        <f>3.8803 * CHOOSE(CONTROL!$C$22, $C$13, 100%, $E$13)</f>
        <v>3.8803000000000001</v>
      </c>
      <c r="D190" s="63">
        <f>3.8885 * CHOOSE(CONTROL!$C$22, $C$13, 100%, $E$13)</f>
        <v>3.8885000000000001</v>
      </c>
      <c r="E190" s="64">
        <f>4.6606 * CHOOSE(CONTROL!$C$22, $C$13, 100%, $E$13)</f>
        <v>4.6605999999999996</v>
      </c>
      <c r="F190" s="64">
        <f>4.6606 * CHOOSE(CONTROL!$C$22, $C$13, 100%, $E$13)</f>
        <v>4.6605999999999996</v>
      </c>
      <c r="G190" s="64">
        <f>4.6704 * CHOOSE(CONTROL!$C$22, $C$13, 100%, $E$13)</f>
        <v>4.6703999999999999</v>
      </c>
      <c r="H190" s="64">
        <f>8.0122* CHOOSE(CONTROL!$C$22, $C$13, 100%, $E$13)</f>
        <v>8.0122</v>
      </c>
      <c r="I190" s="64">
        <f>8.022 * CHOOSE(CONTROL!$C$22, $C$13, 100%, $E$13)</f>
        <v>8.0220000000000002</v>
      </c>
      <c r="J190" s="64">
        <f>4.6606 * CHOOSE(CONTROL!$C$22, $C$13, 100%, $E$13)</f>
        <v>4.6605999999999996</v>
      </c>
      <c r="K190" s="64">
        <f>4.6704 * CHOOSE(CONTROL!$C$22, $C$13, 100%, $E$13)</f>
        <v>4.6703999999999999</v>
      </c>
    </row>
    <row r="191" spans="1:11" ht="15">
      <c r="A191" s="13">
        <v>47300</v>
      </c>
      <c r="B191" s="63">
        <f>3.9341 * CHOOSE(CONTROL!$C$22, $C$13, 100%, $E$13)</f>
        <v>3.9340999999999999</v>
      </c>
      <c r="C191" s="63">
        <f>3.9341 * CHOOSE(CONTROL!$C$22, $C$13, 100%, $E$13)</f>
        <v>3.9340999999999999</v>
      </c>
      <c r="D191" s="63">
        <f>3.9422 * CHOOSE(CONTROL!$C$22, $C$13, 100%, $E$13)</f>
        <v>3.9422000000000001</v>
      </c>
      <c r="E191" s="64">
        <f>4.7415 * CHOOSE(CONTROL!$C$22, $C$13, 100%, $E$13)</f>
        <v>4.7415000000000003</v>
      </c>
      <c r="F191" s="64">
        <f>4.7415 * CHOOSE(CONTROL!$C$22, $C$13, 100%, $E$13)</f>
        <v>4.7415000000000003</v>
      </c>
      <c r="G191" s="64">
        <f>4.7513 * CHOOSE(CONTROL!$C$22, $C$13, 100%, $E$13)</f>
        <v>4.7512999999999996</v>
      </c>
      <c r="H191" s="64">
        <f>8.0289* CHOOSE(CONTROL!$C$22, $C$13, 100%, $E$13)</f>
        <v>8.0289000000000001</v>
      </c>
      <c r="I191" s="64">
        <f>8.0387 * CHOOSE(CONTROL!$C$22, $C$13, 100%, $E$13)</f>
        <v>8.0387000000000004</v>
      </c>
      <c r="J191" s="64">
        <f>4.7415 * CHOOSE(CONTROL!$C$22, $C$13, 100%, $E$13)</f>
        <v>4.7415000000000003</v>
      </c>
      <c r="K191" s="64">
        <f>4.7513 * CHOOSE(CONTROL!$C$22, $C$13, 100%, $E$13)</f>
        <v>4.7512999999999996</v>
      </c>
    </row>
    <row r="192" spans="1:11" ht="15">
      <c r="A192" s="13">
        <v>47331</v>
      </c>
      <c r="B192" s="63">
        <f>3.9407 * CHOOSE(CONTROL!$C$22, $C$13, 100%, $E$13)</f>
        <v>3.9407000000000001</v>
      </c>
      <c r="C192" s="63">
        <f>3.9407 * CHOOSE(CONTROL!$C$22, $C$13, 100%, $E$13)</f>
        <v>3.9407000000000001</v>
      </c>
      <c r="D192" s="63">
        <f>3.9489 * CHOOSE(CONTROL!$C$22, $C$13, 100%, $E$13)</f>
        <v>3.9489000000000001</v>
      </c>
      <c r="E192" s="64">
        <f>4.676 * CHOOSE(CONTROL!$C$22, $C$13, 100%, $E$13)</f>
        <v>4.6760000000000002</v>
      </c>
      <c r="F192" s="64">
        <f>4.676 * CHOOSE(CONTROL!$C$22, $C$13, 100%, $E$13)</f>
        <v>4.6760000000000002</v>
      </c>
      <c r="G192" s="64">
        <f>4.6858 * CHOOSE(CONTROL!$C$22, $C$13, 100%, $E$13)</f>
        <v>4.6858000000000004</v>
      </c>
      <c r="H192" s="64">
        <f>8.0456* CHOOSE(CONTROL!$C$22, $C$13, 100%, $E$13)</f>
        <v>8.0456000000000003</v>
      </c>
      <c r="I192" s="64">
        <f>8.0554 * CHOOSE(CONTROL!$C$22, $C$13, 100%, $E$13)</f>
        <v>8.0554000000000006</v>
      </c>
      <c r="J192" s="64">
        <f>4.676 * CHOOSE(CONTROL!$C$22, $C$13, 100%, $E$13)</f>
        <v>4.6760000000000002</v>
      </c>
      <c r="K192" s="64">
        <f>4.6858 * CHOOSE(CONTROL!$C$22, $C$13, 100%, $E$13)</f>
        <v>4.6858000000000004</v>
      </c>
    </row>
    <row r="193" spans="1:11" ht="15">
      <c r="A193" s="13">
        <v>47362</v>
      </c>
      <c r="B193" s="63">
        <f>3.9377 * CHOOSE(CONTROL!$C$22, $C$13, 100%, $E$13)</f>
        <v>3.9377</v>
      </c>
      <c r="C193" s="63">
        <f>3.9377 * CHOOSE(CONTROL!$C$22, $C$13, 100%, $E$13)</f>
        <v>3.9377</v>
      </c>
      <c r="D193" s="63">
        <f>3.9458 * CHOOSE(CONTROL!$C$22, $C$13, 100%, $E$13)</f>
        <v>3.9458000000000002</v>
      </c>
      <c r="E193" s="64">
        <f>4.6661 * CHOOSE(CONTROL!$C$22, $C$13, 100%, $E$13)</f>
        <v>4.6661000000000001</v>
      </c>
      <c r="F193" s="64">
        <f>4.6661 * CHOOSE(CONTROL!$C$22, $C$13, 100%, $E$13)</f>
        <v>4.6661000000000001</v>
      </c>
      <c r="G193" s="64">
        <f>4.6759 * CHOOSE(CONTROL!$C$22, $C$13, 100%, $E$13)</f>
        <v>4.6759000000000004</v>
      </c>
      <c r="H193" s="64">
        <f>8.0624* CHOOSE(CONTROL!$C$22, $C$13, 100%, $E$13)</f>
        <v>8.0624000000000002</v>
      </c>
      <c r="I193" s="64">
        <f>8.0722 * CHOOSE(CONTROL!$C$22, $C$13, 100%, $E$13)</f>
        <v>8.0722000000000005</v>
      </c>
      <c r="J193" s="64">
        <f>4.6661 * CHOOSE(CONTROL!$C$22, $C$13, 100%, $E$13)</f>
        <v>4.6661000000000001</v>
      </c>
      <c r="K193" s="64">
        <f>4.6759 * CHOOSE(CONTROL!$C$22, $C$13, 100%, $E$13)</f>
        <v>4.6759000000000004</v>
      </c>
    </row>
    <row r="194" spans="1:11" ht="15">
      <c r="A194" s="13">
        <v>47392</v>
      </c>
      <c r="B194" s="63">
        <f>3.9325 * CHOOSE(CONTROL!$C$22, $C$13, 100%, $E$13)</f>
        <v>3.9325000000000001</v>
      </c>
      <c r="C194" s="63">
        <f>3.9325 * CHOOSE(CONTROL!$C$22, $C$13, 100%, $E$13)</f>
        <v>3.9325000000000001</v>
      </c>
      <c r="D194" s="63">
        <f>3.9325 * CHOOSE(CONTROL!$C$22, $C$13, 100%, $E$13)</f>
        <v>3.9325000000000001</v>
      </c>
      <c r="E194" s="64">
        <f>4.6838 * CHOOSE(CONTROL!$C$22, $C$13, 100%, $E$13)</f>
        <v>4.6837999999999997</v>
      </c>
      <c r="F194" s="64">
        <f>4.6838 * CHOOSE(CONTROL!$C$22, $C$13, 100%, $E$13)</f>
        <v>4.6837999999999997</v>
      </c>
      <c r="G194" s="64">
        <f>4.6839 * CHOOSE(CONTROL!$C$22, $C$13, 100%, $E$13)</f>
        <v>4.6839000000000004</v>
      </c>
      <c r="H194" s="64">
        <f>8.0792* CHOOSE(CONTROL!$C$22, $C$13, 100%, $E$13)</f>
        <v>8.0792000000000002</v>
      </c>
      <c r="I194" s="64">
        <f>8.0793 * CHOOSE(CONTROL!$C$22, $C$13, 100%, $E$13)</f>
        <v>8.0792999999999999</v>
      </c>
      <c r="J194" s="64">
        <f>4.6838 * CHOOSE(CONTROL!$C$22, $C$13, 100%, $E$13)</f>
        <v>4.6837999999999997</v>
      </c>
      <c r="K194" s="64">
        <f>4.6839 * CHOOSE(CONTROL!$C$22, $C$13, 100%, $E$13)</f>
        <v>4.6839000000000004</v>
      </c>
    </row>
    <row r="195" spans="1:11" ht="15">
      <c r="A195" s="13">
        <v>47423</v>
      </c>
      <c r="B195" s="63">
        <f>3.9355 * CHOOSE(CONTROL!$C$22, $C$13, 100%, $E$13)</f>
        <v>3.9355000000000002</v>
      </c>
      <c r="C195" s="63">
        <f>3.9355 * CHOOSE(CONTROL!$C$22, $C$13, 100%, $E$13)</f>
        <v>3.9355000000000002</v>
      </c>
      <c r="D195" s="63">
        <f>3.9355 * CHOOSE(CONTROL!$C$22, $C$13, 100%, $E$13)</f>
        <v>3.9355000000000002</v>
      </c>
      <c r="E195" s="64">
        <f>4.7015 * CHOOSE(CONTROL!$C$22, $C$13, 100%, $E$13)</f>
        <v>4.7015000000000002</v>
      </c>
      <c r="F195" s="64">
        <f>4.7015 * CHOOSE(CONTROL!$C$22, $C$13, 100%, $E$13)</f>
        <v>4.7015000000000002</v>
      </c>
      <c r="G195" s="64">
        <f>4.7016 * CHOOSE(CONTROL!$C$22, $C$13, 100%, $E$13)</f>
        <v>4.7016</v>
      </c>
      <c r="H195" s="64">
        <f>8.096* CHOOSE(CONTROL!$C$22, $C$13, 100%, $E$13)</f>
        <v>8.0960000000000001</v>
      </c>
      <c r="I195" s="64">
        <f>8.0961 * CHOOSE(CONTROL!$C$22, $C$13, 100%, $E$13)</f>
        <v>8.0960999999999999</v>
      </c>
      <c r="J195" s="64">
        <f>4.7015 * CHOOSE(CONTROL!$C$22, $C$13, 100%, $E$13)</f>
        <v>4.7015000000000002</v>
      </c>
      <c r="K195" s="64">
        <f>4.7016 * CHOOSE(CONTROL!$C$22, $C$13, 100%, $E$13)</f>
        <v>4.7016</v>
      </c>
    </row>
    <row r="196" spans="1:11" ht="15">
      <c r="A196" s="13">
        <v>47453</v>
      </c>
      <c r="B196" s="63">
        <f>3.9355 * CHOOSE(CONTROL!$C$22, $C$13, 100%, $E$13)</f>
        <v>3.9355000000000002</v>
      </c>
      <c r="C196" s="63">
        <f>3.9355 * CHOOSE(CONTROL!$C$22, $C$13, 100%, $E$13)</f>
        <v>3.9355000000000002</v>
      </c>
      <c r="D196" s="63">
        <f>3.9355 * CHOOSE(CONTROL!$C$22, $C$13, 100%, $E$13)</f>
        <v>3.9355000000000002</v>
      </c>
      <c r="E196" s="64">
        <f>4.6626 * CHOOSE(CONTROL!$C$22, $C$13, 100%, $E$13)</f>
        <v>4.6626000000000003</v>
      </c>
      <c r="F196" s="64">
        <f>4.6626 * CHOOSE(CONTROL!$C$22, $C$13, 100%, $E$13)</f>
        <v>4.6626000000000003</v>
      </c>
      <c r="G196" s="64">
        <f>4.6627 * CHOOSE(CONTROL!$C$22, $C$13, 100%, $E$13)</f>
        <v>4.6627000000000001</v>
      </c>
      <c r="H196" s="64">
        <f>8.1129* CHOOSE(CONTROL!$C$22, $C$13, 100%, $E$13)</f>
        <v>8.1128999999999998</v>
      </c>
      <c r="I196" s="64">
        <f>8.113 * CHOOSE(CONTROL!$C$22, $C$13, 100%, $E$13)</f>
        <v>8.1129999999999995</v>
      </c>
      <c r="J196" s="64">
        <f>4.6626 * CHOOSE(CONTROL!$C$22, $C$13, 100%, $E$13)</f>
        <v>4.6626000000000003</v>
      </c>
      <c r="K196" s="64">
        <f>4.6627 * CHOOSE(CONTROL!$C$22, $C$13, 100%, $E$13)</f>
        <v>4.6627000000000001</v>
      </c>
    </row>
    <row r="197" spans="1:11" ht="15">
      <c r="A197" s="13">
        <v>47484</v>
      </c>
      <c r="B197" s="63">
        <f>3.9695 * CHOOSE(CONTROL!$C$22, $C$13, 100%, $E$13)</f>
        <v>3.9695</v>
      </c>
      <c r="C197" s="63">
        <f>3.9695 * CHOOSE(CONTROL!$C$22, $C$13, 100%, $E$13)</f>
        <v>3.9695</v>
      </c>
      <c r="D197" s="63">
        <f>3.9695 * CHOOSE(CONTROL!$C$22, $C$13, 100%, $E$13)</f>
        <v>3.9695</v>
      </c>
      <c r="E197" s="64">
        <f>4.7284 * CHOOSE(CONTROL!$C$22, $C$13, 100%, $E$13)</f>
        <v>4.7283999999999997</v>
      </c>
      <c r="F197" s="64">
        <f>4.7284 * CHOOSE(CONTROL!$C$22, $C$13, 100%, $E$13)</f>
        <v>4.7283999999999997</v>
      </c>
      <c r="G197" s="64">
        <f>4.7285 * CHOOSE(CONTROL!$C$22, $C$13, 100%, $E$13)</f>
        <v>4.7285000000000004</v>
      </c>
      <c r="H197" s="64">
        <f>8.1298* CHOOSE(CONTROL!$C$22, $C$13, 100%, $E$13)</f>
        <v>8.1297999999999995</v>
      </c>
      <c r="I197" s="64">
        <f>8.1299 * CHOOSE(CONTROL!$C$22, $C$13, 100%, $E$13)</f>
        <v>8.1298999999999992</v>
      </c>
      <c r="J197" s="64">
        <f>4.7284 * CHOOSE(CONTROL!$C$22, $C$13, 100%, $E$13)</f>
        <v>4.7283999999999997</v>
      </c>
      <c r="K197" s="64">
        <f>4.7285 * CHOOSE(CONTROL!$C$22, $C$13, 100%, $E$13)</f>
        <v>4.7285000000000004</v>
      </c>
    </row>
    <row r="198" spans="1:11" ht="15">
      <c r="A198" s="13">
        <v>47515</v>
      </c>
      <c r="B198" s="63">
        <f>3.9664 * CHOOSE(CONTROL!$C$22, $C$13, 100%, $E$13)</f>
        <v>3.9664000000000001</v>
      </c>
      <c r="C198" s="63">
        <f>3.9664 * CHOOSE(CONTROL!$C$22, $C$13, 100%, $E$13)</f>
        <v>3.9664000000000001</v>
      </c>
      <c r="D198" s="63">
        <f>3.9665 * CHOOSE(CONTROL!$C$22, $C$13, 100%, $E$13)</f>
        <v>3.9664999999999999</v>
      </c>
      <c r="E198" s="64">
        <f>4.6508 * CHOOSE(CONTROL!$C$22, $C$13, 100%, $E$13)</f>
        <v>4.6508000000000003</v>
      </c>
      <c r="F198" s="64">
        <f>4.6508 * CHOOSE(CONTROL!$C$22, $C$13, 100%, $E$13)</f>
        <v>4.6508000000000003</v>
      </c>
      <c r="G198" s="64">
        <f>4.6509 * CHOOSE(CONTROL!$C$22, $C$13, 100%, $E$13)</f>
        <v>4.6509</v>
      </c>
      <c r="H198" s="64">
        <f>8.1467* CHOOSE(CONTROL!$C$22, $C$13, 100%, $E$13)</f>
        <v>8.1466999999999992</v>
      </c>
      <c r="I198" s="64">
        <f>8.1468 * CHOOSE(CONTROL!$C$22, $C$13, 100%, $E$13)</f>
        <v>8.1468000000000007</v>
      </c>
      <c r="J198" s="64">
        <f>4.6508 * CHOOSE(CONTROL!$C$22, $C$13, 100%, $E$13)</f>
        <v>4.6508000000000003</v>
      </c>
      <c r="K198" s="64">
        <f>4.6509 * CHOOSE(CONTROL!$C$22, $C$13, 100%, $E$13)</f>
        <v>4.6509</v>
      </c>
    </row>
    <row r="199" spans="1:11" ht="15">
      <c r="A199" s="13">
        <v>47543</v>
      </c>
      <c r="B199" s="63">
        <f>3.9634 * CHOOSE(CONTROL!$C$22, $C$13, 100%, $E$13)</f>
        <v>3.9634</v>
      </c>
      <c r="C199" s="63">
        <f>3.9634 * CHOOSE(CONTROL!$C$22, $C$13, 100%, $E$13)</f>
        <v>3.9634</v>
      </c>
      <c r="D199" s="63">
        <f>3.9634 * CHOOSE(CONTROL!$C$22, $C$13, 100%, $E$13)</f>
        <v>3.9634</v>
      </c>
      <c r="E199" s="64">
        <f>4.7082 * CHOOSE(CONTROL!$C$22, $C$13, 100%, $E$13)</f>
        <v>4.7081999999999997</v>
      </c>
      <c r="F199" s="64">
        <f>4.7082 * CHOOSE(CONTROL!$C$22, $C$13, 100%, $E$13)</f>
        <v>4.7081999999999997</v>
      </c>
      <c r="G199" s="64">
        <f>4.7083 * CHOOSE(CONTROL!$C$22, $C$13, 100%, $E$13)</f>
        <v>4.7083000000000004</v>
      </c>
      <c r="H199" s="64">
        <f>8.1637* CHOOSE(CONTROL!$C$22, $C$13, 100%, $E$13)</f>
        <v>8.1637000000000004</v>
      </c>
      <c r="I199" s="64">
        <f>8.1638 * CHOOSE(CONTROL!$C$22, $C$13, 100%, $E$13)</f>
        <v>8.1638000000000002</v>
      </c>
      <c r="J199" s="64">
        <f>4.7082 * CHOOSE(CONTROL!$C$22, $C$13, 100%, $E$13)</f>
        <v>4.7081999999999997</v>
      </c>
      <c r="K199" s="64">
        <f>4.7083 * CHOOSE(CONTROL!$C$22, $C$13, 100%, $E$13)</f>
        <v>4.7083000000000004</v>
      </c>
    </row>
    <row r="200" spans="1:11" ht="15">
      <c r="A200" s="13">
        <v>47574</v>
      </c>
      <c r="B200" s="63">
        <f>3.961 * CHOOSE(CONTROL!$C$22, $C$13, 100%, $E$13)</f>
        <v>3.9609999999999999</v>
      </c>
      <c r="C200" s="63">
        <f>3.961 * CHOOSE(CONTROL!$C$22, $C$13, 100%, $E$13)</f>
        <v>3.9609999999999999</v>
      </c>
      <c r="D200" s="63">
        <f>3.961 * CHOOSE(CONTROL!$C$22, $C$13, 100%, $E$13)</f>
        <v>3.9609999999999999</v>
      </c>
      <c r="E200" s="64">
        <f>4.7679 * CHOOSE(CONTROL!$C$22, $C$13, 100%, $E$13)</f>
        <v>4.7679</v>
      </c>
      <c r="F200" s="64">
        <f>4.7679 * CHOOSE(CONTROL!$C$22, $C$13, 100%, $E$13)</f>
        <v>4.7679</v>
      </c>
      <c r="G200" s="64">
        <f>4.768 * CHOOSE(CONTROL!$C$22, $C$13, 100%, $E$13)</f>
        <v>4.7679999999999998</v>
      </c>
      <c r="H200" s="64">
        <f>8.1807* CHOOSE(CONTROL!$C$22, $C$13, 100%, $E$13)</f>
        <v>8.1806999999999999</v>
      </c>
      <c r="I200" s="64">
        <f>8.1808 * CHOOSE(CONTROL!$C$22, $C$13, 100%, $E$13)</f>
        <v>8.1807999999999996</v>
      </c>
      <c r="J200" s="64">
        <f>4.7679 * CHOOSE(CONTROL!$C$22, $C$13, 100%, $E$13)</f>
        <v>4.7679</v>
      </c>
      <c r="K200" s="64">
        <f>4.768 * CHOOSE(CONTROL!$C$22, $C$13, 100%, $E$13)</f>
        <v>4.7679999999999998</v>
      </c>
    </row>
    <row r="201" spans="1:11" ht="15">
      <c r="A201" s="13">
        <v>47604</v>
      </c>
      <c r="B201" s="63">
        <f>3.961 * CHOOSE(CONTROL!$C$22, $C$13, 100%, $E$13)</f>
        <v>3.9609999999999999</v>
      </c>
      <c r="C201" s="63">
        <f>3.961 * CHOOSE(CONTROL!$C$22, $C$13, 100%, $E$13)</f>
        <v>3.9609999999999999</v>
      </c>
      <c r="D201" s="63">
        <f>3.9691 * CHOOSE(CONTROL!$C$22, $C$13, 100%, $E$13)</f>
        <v>3.9691000000000001</v>
      </c>
      <c r="E201" s="64">
        <f>4.7918 * CHOOSE(CONTROL!$C$22, $C$13, 100%, $E$13)</f>
        <v>4.7918000000000003</v>
      </c>
      <c r="F201" s="64">
        <f>4.7918 * CHOOSE(CONTROL!$C$22, $C$13, 100%, $E$13)</f>
        <v>4.7918000000000003</v>
      </c>
      <c r="G201" s="64">
        <f>4.8017 * CHOOSE(CONTROL!$C$22, $C$13, 100%, $E$13)</f>
        <v>4.8017000000000003</v>
      </c>
      <c r="H201" s="64">
        <f>8.1977* CHOOSE(CONTROL!$C$22, $C$13, 100%, $E$13)</f>
        <v>8.1976999999999993</v>
      </c>
      <c r="I201" s="64">
        <f>8.2076 * CHOOSE(CONTROL!$C$22, $C$13, 100%, $E$13)</f>
        <v>8.2075999999999993</v>
      </c>
      <c r="J201" s="64">
        <f>4.7918 * CHOOSE(CONTROL!$C$22, $C$13, 100%, $E$13)</f>
        <v>4.7918000000000003</v>
      </c>
      <c r="K201" s="64">
        <f>4.8017 * CHOOSE(CONTROL!$C$22, $C$13, 100%, $E$13)</f>
        <v>4.8017000000000003</v>
      </c>
    </row>
    <row r="202" spans="1:11" ht="15">
      <c r="A202" s="13">
        <v>47635</v>
      </c>
      <c r="B202" s="63">
        <f>3.9671 * CHOOSE(CONTROL!$C$22, $C$13, 100%, $E$13)</f>
        <v>3.9670999999999998</v>
      </c>
      <c r="C202" s="63">
        <f>3.9671 * CHOOSE(CONTROL!$C$22, $C$13, 100%, $E$13)</f>
        <v>3.9670999999999998</v>
      </c>
      <c r="D202" s="63">
        <f>3.9752 * CHOOSE(CONTROL!$C$22, $C$13, 100%, $E$13)</f>
        <v>3.9752000000000001</v>
      </c>
      <c r="E202" s="64">
        <f>4.7721 * CHOOSE(CONTROL!$C$22, $C$13, 100%, $E$13)</f>
        <v>4.7721</v>
      </c>
      <c r="F202" s="64">
        <f>4.7721 * CHOOSE(CONTROL!$C$22, $C$13, 100%, $E$13)</f>
        <v>4.7721</v>
      </c>
      <c r="G202" s="64">
        <f>4.7819 * CHOOSE(CONTROL!$C$22, $C$13, 100%, $E$13)</f>
        <v>4.7819000000000003</v>
      </c>
      <c r="H202" s="64">
        <f>8.2148* CHOOSE(CONTROL!$C$22, $C$13, 100%, $E$13)</f>
        <v>8.2148000000000003</v>
      </c>
      <c r="I202" s="64">
        <f>8.2246 * CHOOSE(CONTROL!$C$22, $C$13, 100%, $E$13)</f>
        <v>8.2246000000000006</v>
      </c>
      <c r="J202" s="64">
        <f>4.7721 * CHOOSE(CONTROL!$C$22, $C$13, 100%, $E$13)</f>
        <v>4.7721</v>
      </c>
      <c r="K202" s="64">
        <f>4.7819 * CHOOSE(CONTROL!$C$22, $C$13, 100%, $E$13)</f>
        <v>4.7819000000000003</v>
      </c>
    </row>
    <row r="203" spans="1:11" ht="15">
      <c r="A203" s="13">
        <v>47665</v>
      </c>
      <c r="B203" s="63">
        <f>4.0298 * CHOOSE(CONTROL!$C$22, $C$13, 100%, $E$13)</f>
        <v>4.0297999999999998</v>
      </c>
      <c r="C203" s="63">
        <f>4.0298 * CHOOSE(CONTROL!$C$22, $C$13, 100%, $E$13)</f>
        <v>4.0297999999999998</v>
      </c>
      <c r="D203" s="63">
        <f>4.0379 * CHOOSE(CONTROL!$C$22, $C$13, 100%, $E$13)</f>
        <v>4.0378999999999996</v>
      </c>
      <c r="E203" s="64">
        <f>4.8562 * CHOOSE(CONTROL!$C$22, $C$13, 100%, $E$13)</f>
        <v>4.8562000000000003</v>
      </c>
      <c r="F203" s="64">
        <f>4.8562 * CHOOSE(CONTROL!$C$22, $C$13, 100%, $E$13)</f>
        <v>4.8562000000000003</v>
      </c>
      <c r="G203" s="64">
        <f>4.866 * CHOOSE(CONTROL!$C$22, $C$13, 100%, $E$13)</f>
        <v>4.8659999999999997</v>
      </c>
      <c r="H203" s="64">
        <f>8.2319* CHOOSE(CONTROL!$C$22, $C$13, 100%, $E$13)</f>
        <v>8.2318999999999996</v>
      </c>
      <c r="I203" s="64">
        <f>8.2418 * CHOOSE(CONTROL!$C$22, $C$13, 100%, $E$13)</f>
        <v>8.2417999999999996</v>
      </c>
      <c r="J203" s="64">
        <f>4.8562 * CHOOSE(CONTROL!$C$22, $C$13, 100%, $E$13)</f>
        <v>4.8562000000000003</v>
      </c>
      <c r="K203" s="64">
        <f>4.866 * CHOOSE(CONTROL!$C$22, $C$13, 100%, $E$13)</f>
        <v>4.8659999999999997</v>
      </c>
    </row>
    <row r="204" spans="1:11" ht="15">
      <c r="A204" s="13">
        <v>47696</v>
      </c>
      <c r="B204" s="63">
        <f>4.0365 * CHOOSE(CONTROL!$C$22, $C$13, 100%, $E$13)</f>
        <v>4.0365000000000002</v>
      </c>
      <c r="C204" s="63">
        <f>4.0365 * CHOOSE(CONTROL!$C$22, $C$13, 100%, $E$13)</f>
        <v>4.0365000000000002</v>
      </c>
      <c r="D204" s="63">
        <f>4.0446 * CHOOSE(CONTROL!$C$22, $C$13, 100%, $E$13)</f>
        <v>4.0446</v>
      </c>
      <c r="E204" s="64">
        <f>4.7889 * CHOOSE(CONTROL!$C$22, $C$13, 100%, $E$13)</f>
        <v>4.7888999999999999</v>
      </c>
      <c r="F204" s="64">
        <f>4.7889 * CHOOSE(CONTROL!$C$22, $C$13, 100%, $E$13)</f>
        <v>4.7888999999999999</v>
      </c>
      <c r="G204" s="64">
        <f>4.7988 * CHOOSE(CONTROL!$C$22, $C$13, 100%, $E$13)</f>
        <v>4.7988</v>
      </c>
      <c r="H204" s="64">
        <f>8.2491* CHOOSE(CONTROL!$C$22, $C$13, 100%, $E$13)</f>
        <v>8.2491000000000003</v>
      </c>
      <c r="I204" s="64">
        <f>8.2589 * CHOOSE(CONTROL!$C$22, $C$13, 100%, $E$13)</f>
        <v>8.2589000000000006</v>
      </c>
      <c r="J204" s="64">
        <f>4.7889 * CHOOSE(CONTROL!$C$22, $C$13, 100%, $E$13)</f>
        <v>4.7888999999999999</v>
      </c>
      <c r="K204" s="64">
        <f>4.7988 * CHOOSE(CONTROL!$C$22, $C$13, 100%, $E$13)</f>
        <v>4.7988</v>
      </c>
    </row>
    <row r="205" spans="1:11" ht="15">
      <c r="A205" s="13">
        <v>47727</v>
      </c>
      <c r="B205" s="63">
        <f>4.0334 * CHOOSE(CONTROL!$C$22, $C$13, 100%, $E$13)</f>
        <v>4.0334000000000003</v>
      </c>
      <c r="C205" s="63">
        <f>4.0334 * CHOOSE(CONTROL!$C$22, $C$13, 100%, $E$13)</f>
        <v>4.0334000000000003</v>
      </c>
      <c r="D205" s="63">
        <f>4.0415 * CHOOSE(CONTROL!$C$22, $C$13, 100%, $E$13)</f>
        <v>4.0415000000000001</v>
      </c>
      <c r="E205" s="64">
        <f>4.7788 * CHOOSE(CONTROL!$C$22, $C$13, 100%, $E$13)</f>
        <v>4.7788000000000004</v>
      </c>
      <c r="F205" s="64">
        <f>4.7788 * CHOOSE(CONTROL!$C$22, $C$13, 100%, $E$13)</f>
        <v>4.7788000000000004</v>
      </c>
      <c r="G205" s="64">
        <f>4.7887 * CHOOSE(CONTROL!$C$22, $C$13, 100%, $E$13)</f>
        <v>4.7887000000000004</v>
      </c>
      <c r="H205" s="64">
        <f>8.2663* CHOOSE(CONTROL!$C$22, $C$13, 100%, $E$13)</f>
        <v>8.2662999999999993</v>
      </c>
      <c r="I205" s="64">
        <f>8.2761 * CHOOSE(CONTROL!$C$22, $C$13, 100%, $E$13)</f>
        <v>8.2760999999999996</v>
      </c>
      <c r="J205" s="64">
        <f>4.7788 * CHOOSE(CONTROL!$C$22, $C$13, 100%, $E$13)</f>
        <v>4.7788000000000004</v>
      </c>
      <c r="K205" s="64">
        <f>4.7887 * CHOOSE(CONTROL!$C$22, $C$13, 100%, $E$13)</f>
        <v>4.7887000000000004</v>
      </c>
    </row>
    <row r="206" spans="1:11" ht="15">
      <c r="A206" s="13">
        <v>47757</v>
      </c>
      <c r="B206" s="63">
        <f>4.0286 * CHOOSE(CONTROL!$C$22, $C$13, 100%, $E$13)</f>
        <v>4.0286</v>
      </c>
      <c r="C206" s="63">
        <f>4.0286 * CHOOSE(CONTROL!$C$22, $C$13, 100%, $E$13)</f>
        <v>4.0286</v>
      </c>
      <c r="D206" s="63">
        <f>4.0286 * CHOOSE(CONTROL!$C$22, $C$13, 100%, $E$13)</f>
        <v>4.0286</v>
      </c>
      <c r="E206" s="64">
        <f>4.7974 * CHOOSE(CONTROL!$C$22, $C$13, 100%, $E$13)</f>
        <v>4.7973999999999997</v>
      </c>
      <c r="F206" s="64">
        <f>4.7974 * CHOOSE(CONTROL!$C$22, $C$13, 100%, $E$13)</f>
        <v>4.7973999999999997</v>
      </c>
      <c r="G206" s="64">
        <f>4.7974 * CHOOSE(CONTROL!$C$22, $C$13, 100%, $E$13)</f>
        <v>4.7973999999999997</v>
      </c>
      <c r="H206" s="64">
        <f>8.2835* CHOOSE(CONTROL!$C$22, $C$13, 100%, $E$13)</f>
        <v>8.2835000000000001</v>
      </c>
      <c r="I206" s="64">
        <f>8.2836 * CHOOSE(CONTROL!$C$22, $C$13, 100%, $E$13)</f>
        <v>8.2835999999999999</v>
      </c>
      <c r="J206" s="64">
        <f>4.7974 * CHOOSE(CONTROL!$C$22, $C$13, 100%, $E$13)</f>
        <v>4.7973999999999997</v>
      </c>
      <c r="K206" s="64">
        <f>4.7974 * CHOOSE(CONTROL!$C$22, $C$13, 100%, $E$13)</f>
        <v>4.7973999999999997</v>
      </c>
    </row>
    <row r="207" spans="1:11" ht="15">
      <c r="A207" s="13">
        <v>47788</v>
      </c>
      <c r="B207" s="63">
        <f>4.0316 * CHOOSE(CONTROL!$C$22, $C$13, 100%, $E$13)</f>
        <v>4.0316000000000001</v>
      </c>
      <c r="C207" s="63">
        <f>4.0316 * CHOOSE(CONTROL!$C$22, $C$13, 100%, $E$13)</f>
        <v>4.0316000000000001</v>
      </c>
      <c r="D207" s="63">
        <f>4.0316 * CHOOSE(CONTROL!$C$22, $C$13, 100%, $E$13)</f>
        <v>4.0316000000000001</v>
      </c>
      <c r="E207" s="64">
        <f>4.8155 * CHOOSE(CONTROL!$C$22, $C$13, 100%, $E$13)</f>
        <v>4.8155000000000001</v>
      </c>
      <c r="F207" s="64">
        <f>4.8155 * CHOOSE(CONTROL!$C$22, $C$13, 100%, $E$13)</f>
        <v>4.8155000000000001</v>
      </c>
      <c r="G207" s="64">
        <f>4.8155 * CHOOSE(CONTROL!$C$22, $C$13, 100%, $E$13)</f>
        <v>4.8155000000000001</v>
      </c>
      <c r="H207" s="64">
        <f>8.3007* CHOOSE(CONTROL!$C$22, $C$13, 100%, $E$13)</f>
        <v>8.3007000000000009</v>
      </c>
      <c r="I207" s="64">
        <f>8.3008 * CHOOSE(CONTROL!$C$22, $C$13, 100%, $E$13)</f>
        <v>8.3008000000000006</v>
      </c>
      <c r="J207" s="64">
        <f>4.8155 * CHOOSE(CONTROL!$C$22, $C$13, 100%, $E$13)</f>
        <v>4.8155000000000001</v>
      </c>
      <c r="K207" s="64">
        <f>4.8155 * CHOOSE(CONTROL!$C$22, $C$13, 100%, $E$13)</f>
        <v>4.8155000000000001</v>
      </c>
    </row>
    <row r="208" spans="1:11" ht="15">
      <c r="A208" s="13">
        <v>47818</v>
      </c>
      <c r="B208" s="63">
        <f>4.0316 * CHOOSE(CONTROL!$C$22, $C$13, 100%, $E$13)</f>
        <v>4.0316000000000001</v>
      </c>
      <c r="C208" s="63">
        <f>4.0316 * CHOOSE(CONTROL!$C$22, $C$13, 100%, $E$13)</f>
        <v>4.0316000000000001</v>
      </c>
      <c r="D208" s="63">
        <f>4.0316 * CHOOSE(CONTROL!$C$22, $C$13, 100%, $E$13)</f>
        <v>4.0316000000000001</v>
      </c>
      <c r="E208" s="64">
        <f>4.7755 * CHOOSE(CONTROL!$C$22, $C$13, 100%, $E$13)</f>
        <v>4.7755000000000001</v>
      </c>
      <c r="F208" s="64">
        <f>4.7755 * CHOOSE(CONTROL!$C$22, $C$13, 100%, $E$13)</f>
        <v>4.7755000000000001</v>
      </c>
      <c r="G208" s="64">
        <f>4.7756 * CHOOSE(CONTROL!$C$22, $C$13, 100%, $E$13)</f>
        <v>4.7755999999999998</v>
      </c>
      <c r="H208" s="64">
        <f>8.318* CHOOSE(CONTROL!$C$22, $C$13, 100%, $E$13)</f>
        <v>8.3179999999999996</v>
      </c>
      <c r="I208" s="64">
        <f>8.3181 * CHOOSE(CONTROL!$C$22, $C$13, 100%, $E$13)</f>
        <v>8.3180999999999994</v>
      </c>
      <c r="J208" s="64">
        <f>4.7755 * CHOOSE(CONTROL!$C$22, $C$13, 100%, $E$13)</f>
        <v>4.7755000000000001</v>
      </c>
      <c r="K208" s="64">
        <f>4.7756 * CHOOSE(CONTROL!$C$22, $C$13, 100%, $E$13)</f>
        <v>4.7755999999999998</v>
      </c>
    </row>
    <row r="209" spans="1:11" ht="15">
      <c r="A209" s="13">
        <v>47849</v>
      </c>
      <c r="B209" s="63">
        <f>4.065 * CHOOSE(CONTROL!$C$22, $C$13, 100%, $E$13)</f>
        <v>4.0650000000000004</v>
      </c>
      <c r="C209" s="63">
        <f>4.065 * CHOOSE(CONTROL!$C$22, $C$13, 100%, $E$13)</f>
        <v>4.0650000000000004</v>
      </c>
      <c r="D209" s="63">
        <f>4.065 * CHOOSE(CONTROL!$C$22, $C$13, 100%, $E$13)</f>
        <v>4.0650000000000004</v>
      </c>
      <c r="E209" s="64">
        <f>4.8568 * CHOOSE(CONTROL!$C$22, $C$13, 100%, $E$13)</f>
        <v>4.8567999999999998</v>
      </c>
      <c r="F209" s="64">
        <f>4.8568 * CHOOSE(CONTROL!$C$22, $C$13, 100%, $E$13)</f>
        <v>4.8567999999999998</v>
      </c>
      <c r="G209" s="64">
        <f>4.8569 * CHOOSE(CONTROL!$C$22, $C$13, 100%, $E$13)</f>
        <v>4.8569000000000004</v>
      </c>
      <c r="H209" s="64">
        <f>8.3354* CHOOSE(CONTROL!$C$22, $C$13, 100%, $E$13)</f>
        <v>8.3353999999999999</v>
      </c>
      <c r="I209" s="64">
        <f>8.3354 * CHOOSE(CONTROL!$C$22, $C$13, 100%, $E$13)</f>
        <v>8.3353999999999999</v>
      </c>
      <c r="J209" s="64">
        <f>4.8568 * CHOOSE(CONTROL!$C$22, $C$13, 100%, $E$13)</f>
        <v>4.8567999999999998</v>
      </c>
      <c r="K209" s="64">
        <f>4.8569 * CHOOSE(CONTROL!$C$22, $C$13, 100%, $E$13)</f>
        <v>4.8569000000000004</v>
      </c>
    </row>
    <row r="210" spans="1:11" ht="15">
      <c r="A210" s="13">
        <v>47880</v>
      </c>
      <c r="B210" s="63">
        <f>4.062 * CHOOSE(CONTROL!$C$22, $C$13, 100%, $E$13)</f>
        <v>4.0620000000000003</v>
      </c>
      <c r="C210" s="63">
        <f>4.062 * CHOOSE(CONTROL!$C$22, $C$13, 100%, $E$13)</f>
        <v>4.0620000000000003</v>
      </c>
      <c r="D210" s="63">
        <f>4.062 * CHOOSE(CONTROL!$C$22, $C$13, 100%, $E$13)</f>
        <v>4.0620000000000003</v>
      </c>
      <c r="E210" s="64">
        <f>4.7772 * CHOOSE(CONTROL!$C$22, $C$13, 100%, $E$13)</f>
        <v>4.7771999999999997</v>
      </c>
      <c r="F210" s="64">
        <f>4.7772 * CHOOSE(CONTROL!$C$22, $C$13, 100%, $E$13)</f>
        <v>4.7771999999999997</v>
      </c>
      <c r="G210" s="64">
        <f>4.7773 * CHOOSE(CONTROL!$C$22, $C$13, 100%, $E$13)</f>
        <v>4.7773000000000003</v>
      </c>
      <c r="H210" s="64">
        <f>8.3527* CHOOSE(CONTROL!$C$22, $C$13, 100%, $E$13)</f>
        <v>8.3527000000000005</v>
      </c>
      <c r="I210" s="64">
        <f>8.3528 * CHOOSE(CONTROL!$C$22, $C$13, 100%, $E$13)</f>
        <v>8.3528000000000002</v>
      </c>
      <c r="J210" s="64">
        <f>4.7772 * CHOOSE(CONTROL!$C$22, $C$13, 100%, $E$13)</f>
        <v>4.7771999999999997</v>
      </c>
      <c r="K210" s="64">
        <f>4.7773 * CHOOSE(CONTROL!$C$22, $C$13, 100%, $E$13)</f>
        <v>4.7773000000000003</v>
      </c>
    </row>
    <row r="211" spans="1:11" ht="15">
      <c r="A211" s="13">
        <v>47908</v>
      </c>
      <c r="B211" s="63">
        <f>4.059 * CHOOSE(CONTROL!$C$22, $C$13, 100%, $E$13)</f>
        <v>4.0590000000000002</v>
      </c>
      <c r="C211" s="63">
        <f>4.059 * CHOOSE(CONTROL!$C$22, $C$13, 100%, $E$13)</f>
        <v>4.0590000000000002</v>
      </c>
      <c r="D211" s="63">
        <f>4.059 * CHOOSE(CONTROL!$C$22, $C$13, 100%, $E$13)</f>
        <v>4.0590000000000002</v>
      </c>
      <c r="E211" s="64">
        <f>4.8362 * CHOOSE(CONTROL!$C$22, $C$13, 100%, $E$13)</f>
        <v>4.8361999999999998</v>
      </c>
      <c r="F211" s="64">
        <f>4.8362 * CHOOSE(CONTROL!$C$22, $C$13, 100%, $E$13)</f>
        <v>4.8361999999999998</v>
      </c>
      <c r="G211" s="64">
        <f>4.8362 * CHOOSE(CONTROL!$C$22, $C$13, 100%, $E$13)</f>
        <v>4.8361999999999998</v>
      </c>
      <c r="H211" s="64">
        <f>8.3701* CHOOSE(CONTROL!$C$22, $C$13, 100%, $E$13)</f>
        <v>8.3701000000000008</v>
      </c>
      <c r="I211" s="64">
        <f>8.3702 * CHOOSE(CONTROL!$C$22, $C$13, 100%, $E$13)</f>
        <v>8.3702000000000005</v>
      </c>
      <c r="J211" s="64">
        <f>4.8362 * CHOOSE(CONTROL!$C$22, $C$13, 100%, $E$13)</f>
        <v>4.8361999999999998</v>
      </c>
      <c r="K211" s="64">
        <f>4.8362 * CHOOSE(CONTROL!$C$22, $C$13, 100%, $E$13)</f>
        <v>4.8361999999999998</v>
      </c>
    </row>
    <row r="212" spans="1:11" ht="15">
      <c r="A212" s="13">
        <v>47939</v>
      </c>
      <c r="B212" s="63">
        <f>4.0567 * CHOOSE(CONTROL!$C$22, $C$13, 100%, $E$13)</f>
        <v>4.0567000000000002</v>
      </c>
      <c r="C212" s="63">
        <f>4.0567 * CHOOSE(CONTROL!$C$22, $C$13, 100%, $E$13)</f>
        <v>4.0567000000000002</v>
      </c>
      <c r="D212" s="63">
        <f>4.0567 * CHOOSE(CONTROL!$C$22, $C$13, 100%, $E$13)</f>
        <v>4.0567000000000002</v>
      </c>
      <c r="E212" s="64">
        <f>4.8975 * CHOOSE(CONTROL!$C$22, $C$13, 100%, $E$13)</f>
        <v>4.8975</v>
      </c>
      <c r="F212" s="64">
        <f>4.8975 * CHOOSE(CONTROL!$C$22, $C$13, 100%, $E$13)</f>
        <v>4.8975</v>
      </c>
      <c r="G212" s="64">
        <f>4.8976 * CHOOSE(CONTROL!$C$22, $C$13, 100%, $E$13)</f>
        <v>4.8975999999999997</v>
      </c>
      <c r="H212" s="64">
        <f>8.3876* CHOOSE(CONTROL!$C$22, $C$13, 100%, $E$13)</f>
        <v>8.3876000000000008</v>
      </c>
      <c r="I212" s="64">
        <f>8.3876 * CHOOSE(CONTROL!$C$22, $C$13, 100%, $E$13)</f>
        <v>8.3876000000000008</v>
      </c>
      <c r="J212" s="64">
        <f>4.8975 * CHOOSE(CONTROL!$C$22, $C$13, 100%, $E$13)</f>
        <v>4.8975</v>
      </c>
      <c r="K212" s="64">
        <f>4.8976 * CHOOSE(CONTROL!$C$22, $C$13, 100%, $E$13)</f>
        <v>4.8975999999999997</v>
      </c>
    </row>
    <row r="213" spans="1:11" ht="15">
      <c r="A213" s="13">
        <v>47969</v>
      </c>
      <c r="B213" s="63">
        <f>4.0567 * CHOOSE(CONTROL!$C$22, $C$13, 100%, $E$13)</f>
        <v>4.0567000000000002</v>
      </c>
      <c r="C213" s="63">
        <f>4.0567 * CHOOSE(CONTROL!$C$22, $C$13, 100%, $E$13)</f>
        <v>4.0567000000000002</v>
      </c>
      <c r="D213" s="63">
        <f>4.0648 * CHOOSE(CONTROL!$C$22, $C$13, 100%, $E$13)</f>
        <v>4.0648</v>
      </c>
      <c r="E213" s="64">
        <f>4.9221 * CHOOSE(CONTROL!$C$22, $C$13, 100%, $E$13)</f>
        <v>4.9221000000000004</v>
      </c>
      <c r="F213" s="64">
        <f>4.9221 * CHOOSE(CONTROL!$C$22, $C$13, 100%, $E$13)</f>
        <v>4.9221000000000004</v>
      </c>
      <c r="G213" s="64">
        <f>4.9319 * CHOOSE(CONTROL!$C$22, $C$13, 100%, $E$13)</f>
        <v>4.9318999999999997</v>
      </c>
      <c r="H213" s="64">
        <f>8.405* CHOOSE(CONTROL!$C$22, $C$13, 100%, $E$13)</f>
        <v>8.4049999999999994</v>
      </c>
      <c r="I213" s="64">
        <f>8.4149 * CHOOSE(CONTROL!$C$22, $C$13, 100%, $E$13)</f>
        <v>8.4148999999999994</v>
      </c>
      <c r="J213" s="64">
        <f>4.9221 * CHOOSE(CONTROL!$C$22, $C$13, 100%, $E$13)</f>
        <v>4.9221000000000004</v>
      </c>
      <c r="K213" s="64">
        <f>4.9319 * CHOOSE(CONTROL!$C$22, $C$13, 100%, $E$13)</f>
        <v>4.9318999999999997</v>
      </c>
    </row>
    <row r="214" spans="1:11" ht="15">
      <c r="A214" s="13">
        <v>48000</v>
      </c>
      <c r="B214" s="63">
        <f>4.0627 * CHOOSE(CONTROL!$C$22, $C$13, 100%, $E$13)</f>
        <v>4.0627000000000004</v>
      </c>
      <c r="C214" s="63">
        <f>4.0627 * CHOOSE(CONTROL!$C$22, $C$13, 100%, $E$13)</f>
        <v>4.0627000000000004</v>
      </c>
      <c r="D214" s="63">
        <f>4.0708 * CHOOSE(CONTROL!$C$22, $C$13, 100%, $E$13)</f>
        <v>4.0708000000000002</v>
      </c>
      <c r="E214" s="64">
        <f>4.9017 * CHOOSE(CONTROL!$C$22, $C$13, 100%, $E$13)</f>
        <v>4.9016999999999999</v>
      </c>
      <c r="F214" s="64">
        <f>4.9017 * CHOOSE(CONTROL!$C$22, $C$13, 100%, $E$13)</f>
        <v>4.9016999999999999</v>
      </c>
      <c r="G214" s="64">
        <f>4.9115 * CHOOSE(CONTROL!$C$22, $C$13, 100%, $E$13)</f>
        <v>4.9115000000000002</v>
      </c>
      <c r="H214" s="64">
        <f>8.4226* CHOOSE(CONTROL!$C$22, $C$13, 100%, $E$13)</f>
        <v>8.4225999999999992</v>
      </c>
      <c r="I214" s="64">
        <f>8.4324 * CHOOSE(CONTROL!$C$22, $C$13, 100%, $E$13)</f>
        <v>8.4323999999999995</v>
      </c>
      <c r="J214" s="64">
        <f>4.9017 * CHOOSE(CONTROL!$C$22, $C$13, 100%, $E$13)</f>
        <v>4.9016999999999999</v>
      </c>
      <c r="K214" s="64">
        <f>4.9115 * CHOOSE(CONTROL!$C$22, $C$13, 100%, $E$13)</f>
        <v>4.9115000000000002</v>
      </c>
    </row>
    <row r="215" spans="1:11" ht="15">
      <c r="A215" s="13">
        <v>48030</v>
      </c>
      <c r="B215" s="63">
        <f>4.1241 * CHOOSE(CONTROL!$C$22, $C$13, 100%, $E$13)</f>
        <v>4.1241000000000003</v>
      </c>
      <c r="C215" s="63">
        <f>4.1241 * CHOOSE(CONTROL!$C$22, $C$13, 100%, $E$13)</f>
        <v>4.1241000000000003</v>
      </c>
      <c r="D215" s="63">
        <f>4.1322 * CHOOSE(CONTROL!$C$22, $C$13, 100%, $E$13)</f>
        <v>4.1322000000000001</v>
      </c>
      <c r="E215" s="64">
        <f>5.0209 * CHOOSE(CONTROL!$C$22, $C$13, 100%, $E$13)</f>
        <v>5.0209000000000001</v>
      </c>
      <c r="F215" s="64">
        <f>5.0209 * CHOOSE(CONTROL!$C$22, $C$13, 100%, $E$13)</f>
        <v>5.0209000000000001</v>
      </c>
      <c r="G215" s="64">
        <f>5.0308 * CHOOSE(CONTROL!$C$22, $C$13, 100%, $E$13)</f>
        <v>5.0308000000000002</v>
      </c>
      <c r="H215" s="64">
        <f>8.4401* CHOOSE(CONTROL!$C$22, $C$13, 100%, $E$13)</f>
        <v>8.4400999999999993</v>
      </c>
      <c r="I215" s="64">
        <f>8.4499 * CHOOSE(CONTROL!$C$22, $C$13, 100%, $E$13)</f>
        <v>8.4498999999999995</v>
      </c>
      <c r="J215" s="64">
        <f>5.0209 * CHOOSE(CONTROL!$C$22, $C$13, 100%, $E$13)</f>
        <v>5.0209000000000001</v>
      </c>
      <c r="K215" s="64">
        <f>5.0308 * CHOOSE(CONTROL!$C$22, $C$13, 100%, $E$13)</f>
        <v>5.0308000000000002</v>
      </c>
    </row>
    <row r="216" spans="1:11" ht="15">
      <c r="A216" s="13">
        <v>48061</v>
      </c>
      <c r="B216" s="63">
        <f>4.1308 * CHOOSE(CONTROL!$C$22, $C$13, 100%, $E$13)</f>
        <v>4.1307999999999998</v>
      </c>
      <c r="C216" s="63">
        <f>4.1308 * CHOOSE(CONTROL!$C$22, $C$13, 100%, $E$13)</f>
        <v>4.1307999999999998</v>
      </c>
      <c r="D216" s="63">
        <f>4.1389 * CHOOSE(CONTROL!$C$22, $C$13, 100%, $E$13)</f>
        <v>4.1388999999999996</v>
      </c>
      <c r="E216" s="64">
        <f>4.9519 * CHOOSE(CONTROL!$C$22, $C$13, 100%, $E$13)</f>
        <v>4.9519000000000002</v>
      </c>
      <c r="F216" s="64">
        <f>4.9519 * CHOOSE(CONTROL!$C$22, $C$13, 100%, $E$13)</f>
        <v>4.9519000000000002</v>
      </c>
      <c r="G216" s="64">
        <f>4.9617 * CHOOSE(CONTROL!$C$22, $C$13, 100%, $E$13)</f>
        <v>4.9617000000000004</v>
      </c>
      <c r="H216" s="64">
        <f>8.4577* CHOOSE(CONTROL!$C$22, $C$13, 100%, $E$13)</f>
        <v>8.4577000000000009</v>
      </c>
      <c r="I216" s="64">
        <f>8.4675 * CHOOSE(CONTROL!$C$22, $C$13, 100%, $E$13)</f>
        <v>8.4674999999999994</v>
      </c>
      <c r="J216" s="64">
        <f>4.9519 * CHOOSE(CONTROL!$C$22, $C$13, 100%, $E$13)</f>
        <v>4.9519000000000002</v>
      </c>
      <c r="K216" s="64">
        <f>4.9617 * CHOOSE(CONTROL!$C$22, $C$13, 100%, $E$13)</f>
        <v>4.9617000000000004</v>
      </c>
    </row>
    <row r="217" spans="1:11" ht="15">
      <c r="A217" s="13">
        <v>48092</v>
      </c>
      <c r="B217" s="63">
        <f>4.1278 * CHOOSE(CONTROL!$C$22, $C$13, 100%, $E$13)</f>
        <v>4.1277999999999997</v>
      </c>
      <c r="C217" s="63">
        <f>4.1278 * CHOOSE(CONTROL!$C$22, $C$13, 100%, $E$13)</f>
        <v>4.1277999999999997</v>
      </c>
      <c r="D217" s="63">
        <f>4.1359 * CHOOSE(CONTROL!$C$22, $C$13, 100%, $E$13)</f>
        <v>4.1359000000000004</v>
      </c>
      <c r="E217" s="64">
        <f>4.9415 * CHOOSE(CONTROL!$C$22, $C$13, 100%, $E$13)</f>
        <v>4.9414999999999996</v>
      </c>
      <c r="F217" s="64">
        <f>4.9415 * CHOOSE(CONTROL!$C$22, $C$13, 100%, $E$13)</f>
        <v>4.9414999999999996</v>
      </c>
      <c r="G217" s="64">
        <f>4.9514 * CHOOSE(CONTROL!$C$22, $C$13, 100%, $E$13)</f>
        <v>4.9513999999999996</v>
      </c>
      <c r="H217" s="64">
        <f>8.4753* CHOOSE(CONTROL!$C$22, $C$13, 100%, $E$13)</f>
        <v>8.4753000000000007</v>
      </c>
      <c r="I217" s="64">
        <f>8.4851 * CHOOSE(CONTROL!$C$22, $C$13, 100%, $E$13)</f>
        <v>8.4850999999999992</v>
      </c>
      <c r="J217" s="64">
        <f>4.9415 * CHOOSE(CONTROL!$C$22, $C$13, 100%, $E$13)</f>
        <v>4.9414999999999996</v>
      </c>
      <c r="K217" s="64">
        <f>4.9514 * CHOOSE(CONTROL!$C$22, $C$13, 100%, $E$13)</f>
        <v>4.9513999999999996</v>
      </c>
    </row>
    <row r="218" spans="1:11" ht="15">
      <c r="A218" s="13">
        <v>48122</v>
      </c>
      <c r="B218" s="63">
        <f>4.1232 * CHOOSE(CONTROL!$C$22, $C$13, 100%, $E$13)</f>
        <v>4.1231999999999998</v>
      </c>
      <c r="C218" s="63">
        <f>4.1232 * CHOOSE(CONTROL!$C$22, $C$13, 100%, $E$13)</f>
        <v>4.1231999999999998</v>
      </c>
      <c r="D218" s="63">
        <f>4.1232 * CHOOSE(CONTROL!$C$22, $C$13, 100%, $E$13)</f>
        <v>4.1231999999999998</v>
      </c>
      <c r="E218" s="64">
        <f>4.9609 * CHOOSE(CONTROL!$C$22, $C$13, 100%, $E$13)</f>
        <v>4.9608999999999996</v>
      </c>
      <c r="F218" s="64">
        <f>4.9609 * CHOOSE(CONTROL!$C$22, $C$13, 100%, $E$13)</f>
        <v>4.9608999999999996</v>
      </c>
      <c r="G218" s="64">
        <f>4.961 * CHOOSE(CONTROL!$C$22, $C$13, 100%, $E$13)</f>
        <v>4.9610000000000003</v>
      </c>
      <c r="H218" s="64">
        <f>8.493* CHOOSE(CONTROL!$C$22, $C$13, 100%, $E$13)</f>
        <v>8.4930000000000003</v>
      </c>
      <c r="I218" s="64">
        <f>8.493 * CHOOSE(CONTROL!$C$22, $C$13, 100%, $E$13)</f>
        <v>8.4930000000000003</v>
      </c>
      <c r="J218" s="64">
        <f>4.9609 * CHOOSE(CONTROL!$C$22, $C$13, 100%, $E$13)</f>
        <v>4.9608999999999996</v>
      </c>
      <c r="K218" s="64">
        <f>4.961 * CHOOSE(CONTROL!$C$22, $C$13, 100%, $E$13)</f>
        <v>4.9610000000000003</v>
      </c>
    </row>
    <row r="219" spans="1:11" ht="15">
      <c r="A219" s="13">
        <v>48153</v>
      </c>
      <c r="B219" s="63">
        <f>4.1263 * CHOOSE(CONTROL!$C$22, $C$13, 100%, $E$13)</f>
        <v>4.1262999999999996</v>
      </c>
      <c r="C219" s="63">
        <f>4.1263 * CHOOSE(CONTROL!$C$22, $C$13, 100%, $E$13)</f>
        <v>4.1262999999999996</v>
      </c>
      <c r="D219" s="63">
        <f>4.1263 * CHOOSE(CONTROL!$C$22, $C$13, 100%, $E$13)</f>
        <v>4.1262999999999996</v>
      </c>
      <c r="E219" s="64">
        <f>4.9794 * CHOOSE(CONTROL!$C$22, $C$13, 100%, $E$13)</f>
        <v>4.9794</v>
      </c>
      <c r="F219" s="64">
        <f>4.9794 * CHOOSE(CONTROL!$C$22, $C$13, 100%, $E$13)</f>
        <v>4.9794</v>
      </c>
      <c r="G219" s="64">
        <f>4.9795 * CHOOSE(CONTROL!$C$22, $C$13, 100%, $E$13)</f>
        <v>4.9794999999999998</v>
      </c>
      <c r="H219" s="64">
        <f>8.5107* CHOOSE(CONTROL!$C$22, $C$13, 100%, $E$13)</f>
        <v>8.5106999999999999</v>
      </c>
      <c r="I219" s="64">
        <f>8.5107 * CHOOSE(CONTROL!$C$22, $C$13, 100%, $E$13)</f>
        <v>8.5106999999999999</v>
      </c>
      <c r="J219" s="64">
        <f>4.9794 * CHOOSE(CONTROL!$C$22, $C$13, 100%, $E$13)</f>
        <v>4.9794</v>
      </c>
      <c r="K219" s="64">
        <f>4.9795 * CHOOSE(CONTROL!$C$22, $C$13, 100%, $E$13)</f>
        <v>4.9794999999999998</v>
      </c>
    </row>
    <row r="220" spans="1:11" ht="15">
      <c r="A220" s="13">
        <v>48183</v>
      </c>
      <c r="B220" s="63">
        <f>4.1263 * CHOOSE(CONTROL!$C$22, $C$13, 100%, $E$13)</f>
        <v>4.1262999999999996</v>
      </c>
      <c r="C220" s="63">
        <f>4.1263 * CHOOSE(CONTROL!$C$22, $C$13, 100%, $E$13)</f>
        <v>4.1262999999999996</v>
      </c>
      <c r="D220" s="63">
        <f>4.1263 * CHOOSE(CONTROL!$C$22, $C$13, 100%, $E$13)</f>
        <v>4.1262999999999996</v>
      </c>
      <c r="E220" s="64">
        <f>4.9384 * CHOOSE(CONTROL!$C$22, $C$13, 100%, $E$13)</f>
        <v>4.9383999999999997</v>
      </c>
      <c r="F220" s="64">
        <f>4.9384 * CHOOSE(CONTROL!$C$22, $C$13, 100%, $E$13)</f>
        <v>4.9383999999999997</v>
      </c>
      <c r="G220" s="64">
        <f>4.9385 * CHOOSE(CONTROL!$C$22, $C$13, 100%, $E$13)</f>
        <v>4.9385000000000003</v>
      </c>
      <c r="H220" s="64">
        <f>8.5284* CHOOSE(CONTROL!$C$22, $C$13, 100%, $E$13)</f>
        <v>8.5283999999999995</v>
      </c>
      <c r="I220" s="64">
        <f>8.5285 * CHOOSE(CONTROL!$C$22, $C$13, 100%, $E$13)</f>
        <v>8.5284999999999993</v>
      </c>
      <c r="J220" s="64">
        <f>4.9384 * CHOOSE(CONTROL!$C$22, $C$13, 100%, $E$13)</f>
        <v>4.9383999999999997</v>
      </c>
      <c r="K220" s="64">
        <f>4.9385 * CHOOSE(CONTROL!$C$22, $C$13, 100%, $E$13)</f>
        <v>4.9385000000000003</v>
      </c>
    </row>
    <row r="221" spans="1:11" ht="15">
      <c r="A221" s="13">
        <v>48214</v>
      </c>
      <c r="B221" s="63">
        <f>4.1645 * CHOOSE(CONTROL!$C$22, $C$13, 100%, $E$13)</f>
        <v>4.1645000000000003</v>
      </c>
      <c r="C221" s="63">
        <f>4.1645 * CHOOSE(CONTROL!$C$22, $C$13, 100%, $E$13)</f>
        <v>4.1645000000000003</v>
      </c>
      <c r="D221" s="63">
        <f>4.1645 * CHOOSE(CONTROL!$C$22, $C$13, 100%, $E$13)</f>
        <v>4.1645000000000003</v>
      </c>
      <c r="E221" s="64">
        <f>5.0152 * CHOOSE(CONTROL!$C$22, $C$13, 100%, $E$13)</f>
        <v>5.0152000000000001</v>
      </c>
      <c r="F221" s="64">
        <f>5.0152 * CHOOSE(CONTROL!$C$22, $C$13, 100%, $E$13)</f>
        <v>5.0152000000000001</v>
      </c>
      <c r="G221" s="64">
        <f>5.0153 * CHOOSE(CONTROL!$C$22, $C$13, 100%, $E$13)</f>
        <v>5.0152999999999999</v>
      </c>
      <c r="H221" s="64">
        <f>8.5462* CHOOSE(CONTROL!$C$22, $C$13, 100%, $E$13)</f>
        <v>8.5462000000000007</v>
      </c>
      <c r="I221" s="64">
        <f>8.5462 * CHOOSE(CONTROL!$C$22, $C$13, 100%, $E$13)</f>
        <v>8.5462000000000007</v>
      </c>
      <c r="J221" s="64">
        <f>5.0152 * CHOOSE(CONTROL!$C$22, $C$13, 100%, $E$13)</f>
        <v>5.0152000000000001</v>
      </c>
      <c r="K221" s="64">
        <f>5.0153 * CHOOSE(CONTROL!$C$22, $C$13, 100%, $E$13)</f>
        <v>5.0152999999999999</v>
      </c>
    </row>
    <row r="222" spans="1:11" ht="15">
      <c r="A222" s="13">
        <v>48245</v>
      </c>
      <c r="B222" s="63">
        <f>4.1614 * CHOOSE(CONTROL!$C$22, $C$13, 100%, $E$13)</f>
        <v>4.1614000000000004</v>
      </c>
      <c r="C222" s="63">
        <f>4.1614 * CHOOSE(CONTROL!$C$22, $C$13, 100%, $E$13)</f>
        <v>4.1614000000000004</v>
      </c>
      <c r="D222" s="63">
        <f>4.1614 * CHOOSE(CONTROL!$C$22, $C$13, 100%, $E$13)</f>
        <v>4.1614000000000004</v>
      </c>
      <c r="E222" s="64">
        <f>4.9336 * CHOOSE(CONTROL!$C$22, $C$13, 100%, $E$13)</f>
        <v>4.9336000000000002</v>
      </c>
      <c r="F222" s="64">
        <f>4.9336 * CHOOSE(CONTROL!$C$22, $C$13, 100%, $E$13)</f>
        <v>4.9336000000000002</v>
      </c>
      <c r="G222" s="64">
        <f>4.9337 * CHOOSE(CONTROL!$C$22, $C$13, 100%, $E$13)</f>
        <v>4.9337</v>
      </c>
      <c r="H222" s="64">
        <f>8.564* CHOOSE(CONTROL!$C$22, $C$13, 100%, $E$13)</f>
        <v>8.5640000000000001</v>
      </c>
      <c r="I222" s="64">
        <f>8.564 * CHOOSE(CONTROL!$C$22, $C$13, 100%, $E$13)</f>
        <v>8.5640000000000001</v>
      </c>
      <c r="J222" s="64">
        <f>4.9336 * CHOOSE(CONTROL!$C$22, $C$13, 100%, $E$13)</f>
        <v>4.9336000000000002</v>
      </c>
      <c r="K222" s="64">
        <f>4.9337 * CHOOSE(CONTROL!$C$22, $C$13, 100%, $E$13)</f>
        <v>4.9337</v>
      </c>
    </row>
    <row r="223" spans="1:11" ht="15">
      <c r="A223" s="13">
        <v>48274</v>
      </c>
      <c r="B223" s="63">
        <f>4.1584 * CHOOSE(CONTROL!$C$22, $C$13, 100%, $E$13)</f>
        <v>4.1584000000000003</v>
      </c>
      <c r="C223" s="63">
        <f>4.1584 * CHOOSE(CONTROL!$C$22, $C$13, 100%, $E$13)</f>
        <v>4.1584000000000003</v>
      </c>
      <c r="D223" s="63">
        <f>4.1584 * CHOOSE(CONTROL!$C$22, $C$13, 100%, $E$13)</f>
        <v>4.1584000000000003</v>
      </c>
      <c r="E223" s="64">
        <f>4.9942 * CHOOSE(CONTROL!$C$22, $C$13, 100%, $E$13)</f>
        <v>4.9942000000000002</v>
      </c>
      <c r="F223" s="64">
        <f>4.9942 * CHOOSE(CONTROL!$C$22, $C$13, 100%, $E$13)</f>
        <v>4.9942000000000002</v>
      </c>
      <c r="G223" s="64">
        <f>4.9942 * CHOOSE(CONTROL!$C$22, $C$13, 100%, $E$13)</f>
        <v>4.9942000000000002</v>
      </c>
      <c r="H223" s="64">
        <f>8.5818* CHOOSE(CONTROL!$C$22, $C$13, 100%, $E$13)</f>
        <v>8.5817999999999994</v>
      </c>
      <c r="I223" s="64">
        <f>8.5819 * CHOOSE(CONTROL!$C$22, $C$13, 100%, $E$13)</f>
        <v>8.5818999999999992</v>
      </c>
      <c r="J223" s="64">
        <f>4.9942 * CHOOSE(CONTROL!$C$22, $C$13, 100%, $E$13)</f>
        <v>4.9942000000000002</v>
      </c>
      <c r="K223" s="64">
        <f>4.9942 * CHOOSE(CONTROL!$C$22, $C$13, 100%, $E$13)</f>
        <v>4.9942000000000002</v>
      </c>
    </row>
    <row r="224" spans="1:11" ht="15">
      <c r="A224" s="13">
        <v>48305</v>
      </c>
      <c r="B224" s="63">
        <f>4.1562 * CHOOSE(CONTROL!$C$22, $C$13, 100%, $E$13)</f>
        <v>4.1562000000000001</v>
      </c>
      <c r="C224" s="63">
        <f>4.1562 * CHOOSE(CONTROL!$C$22, $C$13, 100%, $E$13)</f>
        <v>4.1562000000000001</v>
      </c>
      <c r="D224" s="63">
        <f>4.1562 * CHOOSE(CONTROL!$C$22, $C$13, 100%, $E$13)</f>
        <v>4.1562000000000001</v>
      </c>
      <c r="E224" s="64">
        <f>5.0572 * CHOOSE(CONTROL!$C$22, $C$13, 100%, $E$13)</f>
        <v>5.0571999999999999</v>
      </c>
      <c r="F224" s="64">
        <f>5.0572 * CHOOSE(CONTROL!$C$22, $C$13, 100%, $E$13)</f>
        <v>5.0571999999999999</v>
      </c>
      <c r="G224" s="64">
        <f>5.0573 * CHOOSE(CONTROL!$C$22, $C$13, 100%, $E$13)</f>
        <v>5.0572999999999997</v>
      </c>
      <c r="H224" s="64">
        <f>8.5997* CHOOSE(CONTROL!$C$22, $C$13, 100%, $E$13)</f>
        <v>8.5997000000000003</v>
      </c>
      <c r="I224" s="64">
        <f>8.5998 * CHOOSE(CONTROL!$C$22, $C$13, 100%, $E$13)</f>
        <v>8.5998000000000001</v>
      </c>
      <c r="J224" s="64">
        <f>5.0572 * CHOOSE(CONTROL!$C$22, $C$13, 100%, $E$13)</f>
        <v>5.0571999999999999</v>
      </c>
      <c r="K224" s="64">
        <f>5.0573 * CHOOSE(CONTROL!$C$22, $C$13, 100%, $E$13)</f>
        <v>5.0572999999999997</v>
      </c>
    </row>
    <row r="225" spans="1:11" ht="15">
      <c r="A225" s="13">
        <v>48335</v>
      </c>
      <c r="B225" s="63">
        <f>4.1562 * CHOOSE(CONTROL!$C$22, $C$13, 100%, $E$13)</f>
        <v>4.1562000000000001</v>
      </c>
      <c r="C225" s="63">
        <f>4.1562 * CHOOSE(CONTROL!$C$22, $C$13, 100%, $E$13)</f>
        <v>4.1562000000000001</v>
      </c>
      <c r="D225" s="63">
        <f>4.1643 * CHOOSE(CONTROL!$C$22, $C$13, 100%, $E$13)</f>
        <v>4.1642999999999999</v>
      </c>
      <c r="E225" s="64">
        <f>5.0825 * CHOOSE(CONTROL!$C$22, $C$13, 100%, $E$13)</f>
        <v>5.0824999999999996</v>
      </c>
      <c r="F225" s="64">
        <f>5.0825 * CHOOSE(CONTROL!$C$22, $C$13, 100%, $E$13)</f>
        <v>5.0824999999999996</v>
      </c>
      <c r="G225" s="64">
        <f>5.0923 * CHOOSE(CONTROL!$C$22, $C$13, 100%, $E$13)</f>
        <v>5.0922999999999998</v>
      </c>
      <c r="H225" s="64">
        <f>8.6176* CHOOSE(CONTROL!$C$22, $C$13, 100%, $E$13)</f>
        <v>8.6175999999999995</v>
      </c>
      <c r="I225" s="64">
        <f>8.6274 * CHOOSE(CONTROL!$C$22, $C$13, 100%, $E$13)</f>
        <v>8.6273999999999997</v>
      </c>
      <c r="J225" s="64">
        <f>5.0825 * CHOOSE(CONTROL!$C$22, $C$13, 100%, $E$13)</f>
        <v>5.0824999999999996</v>
      </c>
      <c r="K225" s="64">
        <f>5.0923 * CHOOSE(CONTROL!$C$22, $C$13, 100%, $E$13)</f>
        <v>5.0922999999999998</v>
      </c>
    </row>
    <row r="226" spans="1:11" ht="15">
      <c r="A226" s="13">
        <v>48366</v>
      </c>
      <c r="B226" s="63">
        <f>4.1623 * CHOOSE(CONTROL!$C$22, $C$13, 100%, $E$13)</f>
        <v>4.1623000000000001</v>
      </c>
      <c r="C226" s="63">
        <f>4.1623 * CHOOSE(CONTROL!$C$22, $C$13, 100%, $E$13)</f>
        <v>4.1623000000000001</v>
      </c>
      <c r="D226" s="63">
        <f>4.1704 * CHOOSE(CONTROL!$C$22, $C$13, 100%, $E$13)</f>
        <v>4.1703999999999999</v>
      </c>
      <c r="E226" s="64">
        <f>5.0615 * CHOOSE(CONTROL!$C$22, $C$13, 100%, $E$13)</f>
        <v>5.0614999999999997</v>
      </c>
      <c r="F226" s="64">
        <f>5.0615 * CHOOSE(CONTROL!$C$22, $C$13, 100%, $E$13)</f>
        <v>5.0614999999999997</v>
      </c>
      <c r="G226" s="64">
        <f>5.0713 * CHOOSE(CONTROL!$C$22, $C$13, 100%, $E$13)</f>
        <v>5.0712999999999999</v>
      </c>
      <c r="H226" s="64">
        <f>8.6355* CHOOSE(CONTROL!$C$22, $C$13, 100%, $E$13)</f>
        <v>8.6355000000000004</v>
      </c>
      <c r="I226" s="64">
        <f>8.6454 * CHOOSE(CONTROL!$C$22, $C$13, 100%, $E$13)</f>
        <v>8.6454000000000004</v>
      </c>
      <c r="J226" s="64">
        <f>5.0615 * CHOOSE(CONTROL!$C$22, $C$13, 100%, $E$13)</f>
        <v>5.0614999999999997</v>
      </c>
      <c r="K226" s="64">
        <f>5.0713 * CHOOSE(CONTROL!$C$22, $C$13, 100%, $E$13)</f>
        <v>5.0712999999999999</v>
      </c>
    </row>
    <row r="227" spans="1:11" ht="15">
      <c r="A227" s="13">
        <v>48396</v>
      </c>
      <c r="B227" s="63">
        <f>4.2341 * CHOOSE(CONTROL!$C$22, $C$13, 100%, $E$13)</f>
        <v>4.2340999999999998</v>
      </c>
      <c r="C227" s="63">
        <f>4.2341 * CHOOSE(CONTROL!$C$22, $C$13, 100%, $E$13)</f>
        <v>4.2340999999999998</v>
      </c>
      <c r="D227" s="63">
        <f>4.2422 * CHOOSE(CONTROL!$C$22, $C$13, 100%, $E$13)</f>
        <v>4.2422000000000004</v>
      </c>
      <c r="E227" s="64">
        <f>5.166 * CHOOSE(CONTROL!$C$22, $C$13, 100%, $E$13)</f>
        <v>5.1660000000000004</v>
      </c>
      <c r="F227" s="64">
        <f>5.166 * CHOOSE(CONTROL!$C$22, $C$13, 100%, $E$13)</f>
        <v>5.1660000000000004</v>
      </c>
      <c r="G227" s="64">
        <f>5.1758 * CHOOSE(CONTROL!$C$22, $C$13, 100%, $E$13)</f>
        <v>5.1757999999999997</v>
      </c>
      <c r="H227" s="64">
        <f>8.6535* CHOOSE(CONTROL!$C$22, $C$13, 100%, $E$13)</f>
        <v>8.6534999999999993</v>
      </c>
      <c r="I227" s="64">
        <f>8.6634 * CHOOSE(CONTROL!$C$22, $C$13, 100%, $E$13)</f>
        <v>8.6633999999999993</v>
      </c>
      <c r="J227" s="64">
        <f>5.166 * CHOOSE(CONTROL!$C$22, $C$13, 100%, $E$13)</f>
        <v>5.1660000000000004</v>
      </c>
      <c r="K227" s="64">
        <f>5.1758 * CHOOSE(CONTROL!$C$22, $C$13, 100%, $E$13)</f>
        <v>5.1757999999999997</v>
      </c>
    </row>
    <row r="228" spans="1:11" ht="15">
      <c r="A228" s="13">
        <v>48427</v>
      </c>
      <c r="B228" s="63">
        <f>4.2408 * CHOOSE(CONTROL!$C$22, $C$13, 100%, $E$13)</f>
        <v>4.2408000000000001</v>
      </c>
      <c r="C228" s="63">
        <f>4.2408 * CHOOSE(CONTROL!$C$22, $C$13, 100%, $E$13)</f>
        <v>4.2408000000000001</v>
      </c>
      <c r="D228" s="63">
        <f>4.2489 * CHOOSE(CONTROL!$C$22, $C$13, 100%, $E$13)</f>
        <v>4.2488999999999999</v>
      </c>
      <c r="E228" s="64">
        <f>5.095 * CHOOSE(CONTROL!$C$22, $C$13, 100%, $E$13)</f>
        <v>5.0949999999999998</v>
      </c>
      <c r="F228" s="64">
        <f>5.095 * CHOOSE(CONTROL!$C$22, $C$13, 100%, $E$13)</f>
        <v>5.0949999999999998</v>
      </c>
      <c r="G228" s="64">
        <f>5.1048 * CHOOSE(CONTROL!$C$22, $C$13, 100%, $E$13)</f>
        <v>5.1048</v>
      </c>
      <c r="H228" s="64">
        <f>8.6716* CHOOSE(CONTROL!$C$22, $C$13, 100%, $E$13)</f>
        <v>8.6715999999999998</v>
      </c>
      <c r="I228" s="64">
        <f>8.6814 * CHOOSE(CONTROL!$C$22, $C$13, 100%, $E$13)</f>
        <v>8.6814</v>
      </c>
      <c r="J228" s="64">
        <f>5.095 * CHOOSE(CONTROL!$C$22, $C$13, 100%, $E$13)</f>
        <v>5.0949999999999998</v>
      </c>
      <c r="K228" s="64">
        <f>5.1048 * CHOOSE(CONTROL!$C$22, $C$13, 100%, $E$13)</f>
        <v>5.1048</v>
      </c>
    </row>
    <row r="229" spans="1:11" ht="15">
      <c r="A229" s="13">
        <v>48458</v>
      </c>
      <c r="B229" s="63">
        <f>4.2378 * CHOOSE(CONTROL!$C$22, $C$13, 100%, $E$13)</f>
        <v>4.2378</v>
      </c>
      <c r="C229" s="63">
        <f>4.2378 * CHOOSE(CONTROL!$C$22, $C$13, 100%, $E$13)</f>
        <v>4.2378</v>
      </c>
      <c r="D229" s="63">
        <f>4.2459 * CHOOSE(CONTROL!$C$22, $C$13, 100%, $E$13)</f>
        <v>4.2458999999999998</v>
      </c>
      <c r="E229" s="64">
        <f>5.0844 * CHOOSE(CONTROL!$C$22, $C$13, 100%, $E$13)</f>
        <v>5.0843999999999996</v>
      </c>
      <c r="F229" s="64">
        <f>5.0844 * CHOOSE(CONTROL!$C$22, $C$13, 100%, $E$13)</f>
        <v>5.0843999999999996</v>
      </c>
      <c r="G229" s="64">
        <f>5.0942 * CHOOSE(CONTROL!$C$22, $C$13, 100%, $E$13)</f>
        <v>5.0941999999999998</v>
      </c>
      <c r="H229" s="64">
        <f>8.6896* CHOOSE(CONTROL!$C$22, $C$13, 100%, $E$13)</f>
        <v>8.6896000000000004</v>
      </c>
      <c r="I229" s="64">
        <f>8.6995 * CHOOSE(CONTROL!$C$22, $C$13, 100%, $E$13)</f>
        <v>8.6995000000000005</v>
      </c>
      <c r="J229" s="64">
        <f>5.0844 * CHOOSE(CONTROL!$C$22, $C$13, 100%, $E$13)</f>
        <v>5.0843999999999996</v>
      </c>
      <c r="K229" s="64">
        <f>5.0942 * CHOOSE(CONTROL!$C$22, $C$13, 100%, $E$13)</f>
        <v>5.0941999999999998</v>
      </c>
    </row>
    <row r="230" spans="1:11" ht="15">
      <c r="A230" s="13">
        <v>48488</v>
      </c>
      <c r="B230" s="63">
        <f>4.2336 * CHOOSE(CONTROL!$C$22, $C$13, 100%, $E$13)</f>
        <v>4.2336</v>
      </c>
      <c r="C230" s="63">
        <f>4.2336 * CHOOSE(CONTROL!$C$22, $C$13, 100%, $E$13)</f>
        <v>4.2336</v>
      </c>
      <c r="D230" s="63">
        <f>4.2336 * CHOOSE(CONTROL!$C$22, $C$13, 100%, $E$13)</f>
        <v>4.2336</v>
      </c>
      <c r="E230" s="64">
        <f>5.1047 * CHOOSE(CONTROL!$C$22, $C$13, 100%, $E$13)</f>
        <v>5.1047000000000002</v>
      </c>
      <c r="F230" s="64">
        <f>5.1047 * CHOOSE(CONTROL!$C$22, $C$13, 100%, $E$13)</f>
        <v>5.1047000000000002</v>
      </c>
      <c r="G230" s="64">
        <f>5.1047 * CHOOSE(CONTROL!$C$22, $C$13, 100%, $E$13)</f>
        <v>5.1047000000000002</v>
      </c>
      <c r="H230" s="64">
        <f>8.7077* CHOOSE(CONTROL!$C$22, $C$13, 100%, $E$13)</f>
        <v>8.7077000000000009</v>
      </c>
      <c r="I230" s="64">
        <f>8.7078 * CHOOSE(CONTROL!$C$22, $C$13, 100%, $E$13)</f>
        <v>8.7078000000000007</v>
      </c>
      <c r="J230" s="64">
        <f>5.1047 * CHOOSE(CONTROL!$C$22, $C$13, 100%, $E$13)</f>
        <v>5.1047000000000002</v>
      </c>
      <c r="K230" s="64">
        <f>5.1047 * CHOOSE(CONTROL!$C$22, $C$13, 100%, $E$13)</f>
        <v>5.1047000000000002</v>
      </c>
    </row>
    <row r="231" spans="1:11" ht="15">
      <c r="A231" s="13">
        <v>48519</v>
      </c>
      <c r="B231" s="63">
        <f>4.2367 * CHOOSE(CONTROL!$C$22, $C$13, 100%, $E$13)</f>
        <v>4.2366999999999999</v>
      </c>
      <c r="C231" s="63">
        <f>4.2367 * CHOOSE(CONTROL!$C$22, $C$13, 100%, $E$13)</f>
        <v>4.2366999999999999</v>
      </c>
      <c r="D231" s="63">
        <f>4.2367 * CHOOSE(CONTROL!$C$22, $C$13, 100%, $E$13)</f>
        <v>4.2366999999999999</v>
      </c>
      <c r="E231" s="64">
        <f>5.1236 * CHOOSE(CONTROL!$C$22, $C$13, 100%, $E$13)</f>
        <v>5.1235999999999997</v>
      </c>
      <c r="F231" s="64">
        <f>5.1236 * CHOOSE(CONTROL!$C$22, $C$13, 100%, $E$13)</f>
        <v>5.1235999999999997</v>
      </c>
      <c r="G231" s="64">
        <f>5.1237 * CHOOSE(CONTROL!$C$22, $C$13, 100%, $E$13)</f>
        <v>5.1237000000000004</v>
      </c>
      <c r="H231" s="64">
        <f>8.7259* CHOOSE(CONTROL!$C$22, $C$13, 100%, $E$13)</f>
        <v>8.7258999999999993</v>
      </c>
      <c r="I231" s="64">
        <f>8.726 * CHOOSE(CONTROL!$C$22, $C$13, 100%, $E$13)</f>
        <v>8.7260000000000009</v>
      </c>
      <c r="J231" s="64">
        <f>5.1236 * CHOOSE(CONTROL!$C$22, $C$13, 100%, $E$13)</f>
        <v>5.1235999999999997</v>
      </c>
      <c r="K231" s="64">
        <f>5.1237 * CHOOSE(CONTROL!$C$22, $C$13, 100%, $E$13)</f>
        <v>5.1237000000000004</v>
      </c>
    </row>
    <row r="232" spans="1:11" ht="15">
      <c r="A232" s="13">
        <v>48549</v>
      </c>
      <c r="B232" s="63">
        <f>4.2367 * CHOOSE(CONTROL!$C$22, $C$13, 100%, $E$13)</f>
        <v>4.2366999999999999</v>
      </c>
      <c r="C232" s="63">
        <f>4.2367 * CHOOSE(CONTROL!$C$22, $C$13, 100%, $E$13)</f>
        <v>4.2366999999999999</v>
      </c>
      <c r="D232" s="63">
        <f>4.2367 * CHOOSE(CONTROL!$C$22, $C$13, 100%, $E$13)</f>
        <v>4.2366999999999999</v>
      </c>
      <c r="E232" s="64">
        <f>5.0815 * CHOOSE(CONTROL!$C$22, $C$13, 100%, $E$13)</f>
        <v>5.0815000000000001</v>
      </c>
      <c r="F232" s="64">
        <f>5.0815 * CHOOSE(CONTROL!$C$22, $C$13, 100%, $E$13)</f>
        <v>5.0815000000000001</v>
      </c>
      <c r="G232" s="64">
        <f>5.0816 * CHOOSE(CONTROL!$C$22, $C$13, 100%, $E$13)</f>
        <v>5.0815999999999999</v>
      </c>
      <c r="H232" s="64">
        <f>8.7441* CHOOSE(CONTROL!$C$22, $C$13, 100%, $E$13)</f>
        <v>8.7440999999999995</v>
      </c>
      <c r="I232" s="64">
        <f>8.7441 * CHOOSE(CONTROL!$C$22, $C$13, 100%, $E$13)</f>
        <v>8.7440999999999995</v>
      </c>
      <c r="J232" s="64">
        <f>5.0815 * CHOOSE(CONTROL!$C$22, $C$13, 100%, $E$13)</f>
        <v>5.0815000000000001</v>
      </c>
      <c r="K232" s="64">
        <f>5.0816 * CHOOSE(CONTROL!$C$22, $C$13, 100%, $E$13)</f>
        <v>5.0815999999999999</v>
      </c>
    </row>
    <row r="233" spans="1:11" ht="15">
      <c r="A233" s="13">
        <v>48580</v>
      </c>
      <c r="B233" s="63">
        <f>4.2764 * CHOOSE(CONTROL!$C$22, $C$13, 100%, $E$13)</f>
        <v>4.2763999999999998</v>
      </c>
      <c r="C233" s="63">
        <f>4.2764 * CHOOSE(CONTROL!$C$22, $C$13, 100%, $E$13)</f>
        <v>4.2763999999999998</v>
      </c>
      <c r="D233" s="63">
        <f>4.2764 * CHOOSE(CONTROL!$C$22, $C$13, 100%, $E$13)</f>
        <v>4.2763999999999998</v>
      </c>
      <c r="E233" s="64">
        <f>5.1642 * CHOOSE(CONTROL!$C$22, $C$13, 100%, $E$13)</f>
        <v>5.1642000000000001</v>
      </c>
      <c r="F233" s="64">
        <f>5.1642 * CHOOSE(CONTROL!$C$22, $C$13, 100%, $E$13)</f>
        <v>5.1642000000000001</v>
      </c>
      <c r="G233" s="64">
        <f>5.1643 * CHOOSE(CONTROL!$C$22, $C$13, 100%, $E$13)</f>
        <v>5.1642999999999999</v>
      </c>
      <c r="H233" s="64">
        <f>8.7623* CHOOSE(CONTROL!$C$22, $C$13, 100%, $E$13)</f>
        <v>8.7622999999999998</v>
      </c>
      <c r="I233" s="64">
        <f>8.7623 * CHOOSE(CONTROL!$C$22, $C$13, 100%, $E$13)</f>
        <v>8.7622999999999998</v>
      </c>
      <c r="J233" s="64">
        <f>5.1642 * CHOOSE(CONTROL!$C$22, $C$13, 100%, $E$13)</f>
        <v>5.1642000000000001</v>
      </c>
      <c r="K233" s="64">
        <f>5.1643 * CHOOSE(CONTROL!$C$22, $C$13, 100%, $E$13)</f>
        <v>5.1642999999999999</v>
      </c>
    </row>
    <row r="234" spans="1:11" ht="15">
      <c r="A234" s="13">
        <v>48611</v>
      </c>
      <c r="B234" s="63">
        <f>4.2734 * CHOOSE(CONTROL!$C$22, $C$13, 100%, $E$13)</f>
        <v>4.2733999999999996</v>
      </c>
      <c r="C234" s="63">
        <f>4.2734 * CHOOSE(CONTROL!$C$22, $C$13, 100%, $E$13)</f>
        <v>4.2733999999999996</v>
      </c>
      <c r="D234" s="63">
        <f>4.2734 * CHOOSE(CONTROL!$C$22, $C$13, 100%, $E$13)</f>
        <v>4.2733999999999996</v>
      </c>
      <c r="E234" s="64">
        <f>5.0805 * CHOOSE(CONTROL!$C$22, $C$13, 100%, $E$13)</f>
        <v>5.0804999999999998</v>
      </c>
      <c r="F234" s="64">
        <f>5.0805 * CHOOSE(CONTROL!$C$22, $C$13, 100%, $E$13)</f>
        <v>5.0804999999999998</v>
      </c>
      <c r="G234" s="64">
        <f>5.0806 * CHOOSE(CONTROL!$C$22, $C$13, 100%, $E$13)</f>
        <v>5.0805999999999996</v>
      </c>
      <c r="H234" s="64">
        <f>8.7805* CHOOSE(CONTROL!$C$22, $C$13, 100%, $E$13)</f>
        <v>8.7805</v>
      </c>
      <c r="I234" s="64">
        <f>8.7806 * CHOOSE(CONTROL!$C$22, $C$13, 100%, $E$13)</f>
        <v>8.7805999999999997</v>
      </c>
      <c r="J234" s="64">
        <f>5.0805 * CHOOSE(CONTROL!$C$22, $C$13, 100%, $E$13)</f>
        <v>5.0804999999999998</v>
      </c>
      <c r="K234" s="64">
        <f>5.0806 * CHOOSE(CONTROL!$C$22, $C$13, 100%, $E$13)</f>
        <v>5.0805999999999996</v>
      </c>
    </row>
    <row r="235" spans="1:11" ht="15">
      <c r="A235" s="13">
        <v>48639</v>
      </c>
      <c r="B235" s="63">
        <f>4.2703 * CHOOSE(CONTROL!$C$22, $C$13, 100%, $E$13)</f>
        <v>4.2702999999999998</v>
      </c>
      <c r="C235" s="63">
        <f>4.2703 * CHOOSE(CONTROL!$C$22, $C$13, 100%, $E$13)</f>
        <v>4.2702999999999998</v>
      </c>
      <c r="D235" s="63">
        <f>4.2703 * CHOOSE(CONTROL!$C$22, $C$13, 100%, $E$13)</f>
        <v>4.2702999999999998</v>
      </c>
      <c r="E235" s="64">
        <f>5.1427 * CHOOSE(CONTROL!$C$22, $C$13, 100%, $E$13)</f>
        <v>5.1426999999999996</v>
      </c>
      <c r="F235" s="64">
        <f>5.1427 * CHOOSE(CONTROL!$C$22, $C$13, 100%, $E$13)</f>
        <v>5.1426999999999996</v>
      </c>
      <c r="G235" s="64">
        <f>5.1428 * CHOOSE(CONTROL!$C$22, $C$13, 100%, $E$13)</f>
        <v>5.1428000000000003</v>
      </c>
      <c r="H235" s="64">
        <f>8.7988* CHOOSE(CONTROL!$C$22, $C$13, 100%, $E$13)</f>
        <v>8.7988</v>
      </c>
      <c r="I235" s="64">
        <f>8.7989 * CHOOSE(CONTROL!$C$22, $C$13, 100%, $E$13)</f>
        <v>8.7988999999999997</v>
      </c>
      <c r="J235" s="64">
        <f>5.1427 * CHOOSE(CONTROL!$C$22, $C$13, 100%, $E$13)</f>
        <v>5.1426999999999996</v>
      </c>
      <c r="K235" s="64">
        <f>5.1428 * CHOOSE(CONTROL!$C$22, $C$13, 100%, $E$13)</f>
        <v>5.1428000000000003</v>
      </c>
    </row>
    <row r="236" spans="1:11" ht="15">
      <c r="A236" s="13">
        <v>48670</v>
      </c>
      <c r="B236" s="63">
        <f>4.2682 * CHOOSE(CONTROL!$C$22, $C$13, 100%, $E$13)</f>
        <v>4.2682000000000002</v>
      </c>
      <c r="C236" s="63">
        <f>4.2682 * CHOOSE(CONTROL!$C$22, $C$13, 100%, $E$13)</f>
        <v>4.2682000000000002</v>
      </c>
      <c r="D236" s="63">
        <f>4.2682 * CHOOSE(CONTROL!$C$22, $C$13, 100%, $E$13)</f>
        <v>4.2682000000000002</v>
      </c>
      <c r="E236" s="64">
        <f>5.2076 * CHOOSE(CONTROL!$C$22, $C$13, 100%, $E$13)</f>
        <v>5.2076000000000002</v>
      </c>
      <c r="F236" s="64">
        <f>5.2076 * CHOOSE(CONTROL!$C$22, $C$13, 100%, $E$13)</f>
        <v>5.2076000000000002</v>
      </c>
      <c r="G236" s="64">
        <f>5.2076 * CHOOSE(CONTROL!$C$22, $C$13, 100%, $E$13)</f>
        <v>5.2076000000000002</v>
      </c>
      <c r="H236" s="64">
        <f>8.8171* CHOOSE(CONTROL!$C$22, $C$13, 100%, $E$13)</f>
        <v>8.8170999999999999</v>
      </c>
      <c r="I236" s="64">
        <f>8.8172 * CHOOSE(CONTROL!$C$22, $C$13, 100%, $E$13)</f>
        <v>8.8171999999999997</v>
      </c>
      <c r="J236" s="64">
        <f>5.2076 * CHOOSE(CONTROL!$C$22, $C$13, 100%, $E$13)</f>
        <v>5.2076000000000002</v>
      </c>
      <c r="K236" s="64">
        <f>5.2076 * CHOOSE(CONTROL!$C$22, $C$13, 100%, $E$13)</f>
        <v>5.2076000000000002</v>
      </c>
    </row>
    <row r="237" spans="1:11" ht="15">
      <c r="A237" s="13">
        <v>48700</v>
      </c>
      <c r="B237" s="63">
        <f>4.2682 * CHOOSE(CONTROL!$C$22, $C$13, 100%, $E$13)</f>
        <v>4.2682000000000002</v>
      </c>
      <c r="C237" s="63">
        <f>4.2682 * CHOOSE(CONTROL!$C$22, $C$13, 100%, $E$13)</f>
        <v>4.2682000000000002</v>
      </c>
      <c r="D237" s="63">
        <f>4.2763 * CHOOSE(CONTROL!$C$22, $C$13, 100%, $E$13)</f>
        <v>4.2763</v>
      </c>
      <c r="E237" s="64">
        <f>5.2335 * CHOOSE(CONTROL!$C$22, $C$13, 100%, $E$13)</f>
        <v>5.2335000000000003</v>
      </c>
      <c r="F237" s="64">
        <f>5.2335 * CHOOSE(CONTROL!$C$22, $C$13, 100%, $E$13)</f>
        <v>5.2335000000000003</v>
      </c>
      <c r="G237" s="64">
        <f>5.2433 * CHOOSE(CONTROL!$C$22, $C$13, 100%, $E$13)</f>
        <v>5.2432999999999996</v>
      </c>
      <c r="H237" s="64">
        <f>8.8355* CHOOSE(CONTROL!$C$22, $C$13, 100%, $E$13)</f>
        <v>8.8354999999999997</v>
      </c>
      <c r="I237" s="64">
        <f>8.8453 * CHOOSE(CONTROL!$C$22, $C$13, 100%, $E$13)</f>
        <v>8.8452999999999999</v>
      </c>
      <c r="J237" s="64">
        <f>5.2335 * CHOOSE(CONTROL!$C$22, $C$13, 100%, $E$13)</f>
        <v>5.2335000000000003</v>
      </c>
      <c r="K237" s="64">
        <f>5.2433 * CHOOSE(CONTROL!$C$22, $C$13, 100%, $E$13)</f>
        <v>5.2432999999999996</v>
      </c>
    </row>
    <row r="238" spans="1:11" ht="15">
      <c r="A238" s="13">
        <v>48731</v>
      </c>
      <c r="B238" s="63">
        <f>4.2743 * CHOOSE(CONTROL!$C$22, $C$13, 100%, $E$13)</f>
        <v>4.2743000000000002</v>
      </c>
      <c r="C238" s="63">
        <f>4.2743 * CHOOSE(CONTROL!$C$22, $C$13, 100%, $E$13)</f>
        <v>4.2743000000000002</v>
      </c>
      <c r="D238" s="63">
        <f>4.2824 * CHOOSE(CONTROL!$C$22, $C$13, 100%, $E$13)</f>
        <v>4.2824</v>
      </c>
      <c r="E238" s="64">
        <f>5.2118 * CHOOSE(CONTROL!$C$22, $C$13, 100%, $E$13)</f>
        <v>5.2118000000000002</v>
      </c>
      <c r="F238" s="64">
        <f>5.2118 * CHOOSE(CONTROL!$C$22, $C$13, 100%, $E$13)</f>
        <v>5.2118000000000002</v>
      </c>
      <c r="G238" s="64">
        <f>5.2216 * CHOOSE(CONTROL!$C$22, $C$13, 100%, $E$13)</f>
        <v>5.2215999999999996</v>
      </c>
      <c r="H238" s="64">
        <f>8.8539* CHOOSE(CONTROL!$C$22, $C$13, 100%, $E$13)</f>
        <v>8.8538999999999994</v>
      </c>
      <c r="I238" s="64">
        <f>8.8638 * CHOOSE(CONTROL!$C$22, $C$13, 100%, $E$13)</f>
        <v>8.8637999999999995</v>
      </c>
      <c r="J238" s="64">
        <f>5.2118 * CHOOSE(CONTROL!$C$22, $C$13, 100%, $E$13)</f>
        <v>5.2118000000000002</v>
      </c>
      <c r="K238" s="64">
        <f>5.2216 * CHOOSE(CONTROL!$C$22, $C$13, 100%, $E$13)</f>
        <v>5.2215999999999996</v>
      </c>
    </row>
    <row r="239" spans="1:11" ht="15">
      <c r="A239" s="13">
        <v>48761</v>
      </c>
      <c r="B239" s="63">
        <f>4.3499 * CHOOSE(CONTROL!$C$22, $C$13, 100%, $E$13)</f>
        <v>4.3498999999999999</v>
      </c>
      <c r="C239" s="63">
        <f>4.3499 * CHOOSE(CONTROL!$C$22, $C$13, 100%, $E$13)</f>
        <v>4.3498999999999999</v>
      </c>
      <c r="D239" s="63">
        <f>4.358 * CHOOSE(CONTROL!$C$22, $C$13, 100%, $E$13)</f>
        <v>4.3579999999999997</v>
      </c>
      <c r="E239" s="64">
        <f>5.3292 * CHOOSE(CONTROL!$C$22, $C$13, 100%, $E$13)</f>
        <v>5.3292000000000002</v>
      </c>
      <c r="F239" s="64">
        <f>5.3292 * CHOOSE(CONTROL!$C$22, $C$13, 100%, $E$13)</f>
        <v>5.3292000000000002</v>
      </c>
      <c r="G239" s="64">
        <f>5.3391 * CHOOSE(CONTROL!$C$22, $C$13, 100%, $E$13)</f>
        <v>5.3391000000000002</v>
      </c>
      <c r="H239" s="64">
        <f>8.8724* CHOOSE(CONTROL!$C$22, $C$13, 100%, $E$13)</f>
        <v>8.8724000000000007</v>
      </c>
      <c r="I239" s="64">
        <f>8.8822 * CHOOSE(CONTROL!$C$22, $C$13, 100%, $E$13)</f>
        <v>8.8821999999999992</v>
      </c>
      <c r="J239" s="64">
        <f>5.3292 * CHOOSE(CONTROL!$C$22, $C$13, 100%, $E$13)</f>
        <v>5.3292000000000002</v>
      </c>
      <c r="K239" s="64">
        <f>5.3391 * CHOOSE(CONTROL!$C$22, $C$13, 100%, $E$13)</f>
        <v>5.3391000000000002</v>
      </c>
    </row>
    <row r="240" spans="1:11" ht="15">
      <c r="A240" s="13">
        <v>48792</v>
      </c>
      <c r="B240" s="63">
        <f>4.3566 * CHOOSE(CONTROL!$C$22, $C$13, 100%, $E$13)</f>
        <v>4.3566000000000003</v>
      </c>
      <c r="C240" s="63">
        <f>4.3566 * CHOOSE(CONTROL!$C$22, $C$13, 100%, $E$13)</f>
        <v>4.3566000000000003</v>
      </c>
      <c r="D240" s="63">
        <f>4.3647 * CHOOSE(CONTROL!$C$22, $C$13, 100%, $E$13)</f>
        <v>4.3647</v>
      </c>
      <c r="E240" s="64">
        <f>5.2562 * CHOOSE(CONTROL!$C$22, $C$13, 100%, $E$13)</f>
        <v>5.2561999999999998</v>
      </c>
      <c r="F240" s="64">
        <f>5.2562 * CHOOSE(CONTROL!$C$22, $C$13, 100%, $E$13)</f>
        <v>5.2561999999999998</v>
      </c>
      <c r="G240" s="64">
        <f>5.266 * CHOOSE(CONTROL!$C$22, $C$13, 100%, $E$13)</f>
        <v>5.266</v>
      </c>
      <c r="H240" s="64">
        <f>8.8909* CHOOSE(CONTROL!$C$22, $C$13, 100%, $E$13)</f>
        <v>8.8909000000000002</v>
      </c>
      <c r="I240" s="64">
        <f>8.9007 * CHOOSE(CONTROL!$C$22, $C$13, 100%, $E$13)</f>
        <v>8.9007000000000005</v>
      </c>
      <c r="J240" s="64">
        <f>5.2562 * CHOOSE(CONTROL!$C$22, $C$13, 100%, $E$13)</f>
        <v>5.2561999999999998</v>
      </c>
      <c r="K240" s="64">
        <f>5.266 * CHOOSE(CONTROL!$C$22, $C$13, 100%, $E$13)</f>
        <v>5.266</v>
      </c>
    </row>
    <row r="241" spans="1:11" ht="15">
      <c r="A241" s="13">
        <v>48823</v>
      </c>
      <c r="B241" s="63">
        <f>4.3535 * CHOOSE(CONTROL!$C$22, $C$13, 100%, $E$13)</f>
        <v>4.3535000000000004</v>
      </c>
      <c r="C241" s="63">
        <f>4.3535 * CHOOSE(CONTROL!$C$22, $C$13, 100%, $E$13)</f>
        <v>4.3535000000000004</v>
      </c>
      <c r="D241" s="63">
        <f>4.3616 * CHOOSE(CONTROL!$C$22, $C$13, 100%, $E$13)</f>
        <v>4.3616000000000001</v>
      </c>
      <c r="E241" s="64">
        <f>5.2454 * CHOOSE(CONTROL!$C$22, $C$13, 100%, $E$13)</f>
        <v>5.2454000000000001</v>
      </c>
      <c r="F241" s="64">
        <f>5.2454 * CHOOSE(CONTROL!$C$22, $C$13, 100%, $E$13)</f>
        <v>5.2454000000000001</v>
      </c>
      <c r="G241" s="64">
        <f>5.2552 * CHOOSE(CONTROL!$C$22, $C$13, 100%, $E$13)</f>
        <v>5.2552000000000003</v>
      </c>
      <c r="H241" s="64">
        <f>8.9094* CHOOSE(CONTROL!$C$22, $C$13, 100%, $E$13)</f>
        <v>8.9093999999999998</v>
      </c>
      <c r="I241" s="64">
        <f>8.9192 * CHOOSE(CONTROL!$C$22, $C$13, 100%, $E$13)</f>
        <v>8.9192</v>
      </c>
      <c r="J241" s="64">
        <f>5.2454 * CHOOSE(CONTROL!$C$22, $C$13, 100%, $E$13)</f>
        <v>5.2454000000000001</v>
      </c>
      <c r="K241" s="64">
        <f>5.2552 * CHOOSE(CONTROL!$C$22, $C$13, 100%, $E$13)</f>
        <v>5.2552000000000003</v>
      </c>
    </row>
    <row r="242" spans="1:11" ht="15">
      <c r="A242" s="13">
        <v>48853</v>
      </c>
      <c r="B242" s="63">
        <f>4.3497 * CHOOSE(CONTROL!$C$22, $C$13, 100%, $E$13)</f>
        <v>4.3497000000000003</v>
      </c>
      <c r="C242" s="63">
        <f>4.3497 * CHOOSE(CONTROL!$C$22, $C$13, 100%, $E$13)</f>
        <v>4.3497000000000003</v>
      </c>
      <c r="D242" s="63">
        <f>4.3498 * CHOOSE(CONTROL!$C$22, $C$13, 100%, $E$13)</f>
        <v>4.3498000000000001</v>
      </c>
      <c r="E242" s="64">
        <f>5.2665 * CHOOSE(CONTROL!$C$22, $C$13, 100%, $E$13)</f>
        <v>5.2664999999999997</v>
      </c>
      <c r="F242" s="64">
        <f>5.2665 * CHOOSE(CONTROL!$C$22, $C$13, 100%, $E$13)</f>
        <v>5.2664999999999997</v>
      </c>
      <c r="G242" s="64">
        <f>5.2666 * CHOOSE(CONTROL!$C$22, $C$13, 100%, $E$13)</f>
        <v>5.2666000000000004</v>
      </c>
      <c r="H242" s="64">
        <f>8.9279* CHOOSE(CONTROL!$C$22, $C$13, 100%, $E$13)</f>
        <v>8.9278999999999993</v>
      </c>
      <c r="I242" s="64">
        <f>8.928 * CHOOSE(CONTROL!$C$22, $C$13, 100%, $E$13)</f>
        <v>8.9280000000000008</v>
      </c>
      <c r="J242" s="64">
        <f>5.2665 * CHOOSE(CONTROL!$C$22, $C$13, 100%, $E$13)</f>
        <v>5.2664999999999997</v>
      </c>
      <c r="K242" s="64">
        <f>5.2666 * CHOOSE(CONTROL!$C$22, $C$13, 100%, $E$13)</f>
        <v>5.2666000000000004</v>
      </c>
    </row>
    <row r="243" spans="1:11" ht="15">
      <c r="A243" s="13">
        <v>48884</v>
      </c>
      <c r="B243" s="63">
        <f>4.3528 * CHOOSE(CONTROL!$C$22, $C$13, 100%, $E$13)</f>
        <v>4.3528000000000002</v>
      </c>
      <c r="C243" s="63">
        <f>4.3528 * CHOOSE(CONTROL!$C$22, $C$13, 100%, $E$13)</f>
        <v>4.3528000000000002</v>
      </c>
      <c r="D243" s="63">
        <f>4.3528 * CHOOSE(CONTROL!$C$22, $C$13, 100%, $E$13)</f>
        <v>4.3528000000000002</v>
      </c>
      <c r="E243" s="64">
        <f>5.2859 * CHOOSE(CONTROL!$C$22, $C$13, 100%, $E$13)</f>
        <v>5.2858999999999998</v>
      </c>
      <c r="F243" s="64">
        <f>5.2859 * CHOOSE(CONTROL!$C$22, $C$13, 100%, $E$13)</f>
        <v>5.2858999999999998</v>
      </c>
      <c r="G243" s="64">
        <f>5.286 * CHOOSE(CONTROL!$C$22, $C$13, 100%, $E$13)</f>
        <v>5.2859999999999996</v>
      </c>
      <c r="H243" s="64">
        <f>8.9465* CHOOSE(CONTROL!$C$22, $C$13, 100%, $E$13)</f>
        <v>8.9465000000000003</v>
      </c>
      <c r="I243" s="64">
        <f>8.9466 * CHOOSE(CONTROL!$C$22, $C$13, 100%, $E$13)</f>
        <v>8.9466000000000001</v>
      </c>
      <c r="J243" s="64">
        <f>5.2859 * CHOOSE(CONTROL!$C$22, $C$13, 100%, $E$13)</f>
        <v>5.2858999999999998</v>
      </c>
      <c r="K243" s="64">
        <f>5.286 * CHOOSE(CONTROL!$C$22, $C$13, 100%, $E$13)</f>
        <v>5.2859999999999996</v>
      </c>
    </row>
    <row r="244" spans="1:11" ht="15">
      <c r="A244" s="13">
        <v>48914</v>
      </c>
      <c r="B244" s="63">
        <f>4.3528 * CHOOSE(CONTROL!$C$22, $C$13, 100%, $E$13)</f>
        <v>4.3528000000000002</v>
      </c>
      <c r="C244" s="63">
        <f>4.3528 * CHOOSE(CONTROL!$C$22, $C$13, 100%, $E$13)</f>
        <v>4.3528000000000002</v>
      </c>
      <c r="D244" s="63">
        <f>4.3528 * CHOOSE(CONTROL!$C$22, $C$13, 100%, $E$13)</f>
        <v>4.3528000000000002</v>
      </c>
      <c r="E244" s="64">
        <f>5.2427 * CHOOSE(CONTROL!$C$22, $C$13, 100%, $E$13)</f>
        <v>5.2427000000000001</v>
      </c>
      <c r="F244" s="64">
        <f>5.2427 * CHOOSE(CONTROL!$C$22, $C$13, 100%, $E$13)</f>
        <v>5.2427000000000001</v>
      </c>
      <c r="G244" s="64">
        <f>5.2428 * CHOOSE(CONTROL!$C$22, $C$13, 100%, $E$13)</f>
        <v>5.2427999999999999</v>
      </c>
      <c r="H244" s="64">
        <f>8.9652* CHOOSE(CONTROL!$C$22, $C$13, 100%, $E$13)</f>
        <v>8.9651999999999994</v>
      </c>
      <c r="I244" s="64">
        <f>8.9653 * CHOOSE(CONTROL!$C$22, $C$13, 100%, $E$13)</f>
        <v>8.9652999999999992</v>
      </c>
      <c r="J244" s="64">
        <f>5.2427 * CHOOSE(CONTROL!$C$22, $C$13, 100%, $E$13)</f>
        <v>5.2427000000000001</v>
      </c>
      <c r="K244" s="64">
        <f>5.2428 * CHOOSE(CONTROL!$C$22, $C$13, 100%, $E$13)</f>
        <v>5.2427999999999999</v>
      </c>
    </row>
    <row r="245" spans="1:11" ht="15">
      <c r="A245" s="13">
        <v>48945</v>
      </c>
      <c r="B245" s="63">
        <f>4.3942 * CHOOSE(CONTROL!$C$22, $C$13, 100%, $E$13)</f>
        <v>4.3941999999999997</v>
      </c>
      <c r="C245" s="63">
        <f>4.3942 * CHOOSE(CONTROL!$C$22, $C$13, 100%, $E$13)</f>
        <v>4.3941999999999997</v>
      </c>
      <c r="D245" s="63">
        <f>4.3942 * CHOOSE(CONTROL!$C$22, $C$13, 100%, $E$13)</f>
        <v>4.3941999999999997</v>
      </c>
      <c r="E245" s="64">
        <f>5.3259 * CHOOSE(CONTROL!$C$22, $C$13, 100%, $E$13)</f>
        <v>5.3258999999999999</v>
      </c>
      <c r="F245" s="64">
        <f>5.3259 * CHOOSE(CONTROL!$C$22, $C$13, 100%, $E$13)</f>
        <v>5.3258999999999999</v>
      </c>
      <c r="G245" s="64">
        <f>5.326 * CHOOSE(CONTROL!$C$22, $C$13, 100%, $E$13)</f>
        <v>5.3259999999999996</v>
      </c>
      <c r="H245" s="64">
        <f>8.9839* CHOOSE(CONTROL!$C$22, $C$13, 100%, $E$13)</f>
        <v>8.9839000000000002</v>
      </c>
      <c r="I245" s="64">
        <f>8.9839 * CHOOSE(CONTROL!$C$22, $C$13, 100%, $E$13)</f>
        <v>8.9839000000000002</v>
      </c>
      <c r="J245" s="64">
        <f>5.3259 * CHOOSE(CONTROL!$C$22, $C$13, 100%, $E$13)</f>
        <v>5.3258999999999999</v>
      </c>
      <c r="K245" s="64">
        <f>5.326 * CHOOSE(CONTROL!$C$22, $C$13, 100%, $E$13)</f>
        <v>5.3259999999999996</v>
      </c>
    </row>
    <row r="246" spans="1:11" ht="15">
      <c r="A246" s="13">
        <v>48976</v>
      </c>
      <c r="B246" s="63">
        <f>4.3911 * CHOOSE(CONTROL!$C$22, $C$13, 100%, $E$13)</f>
        <v>4.3910999999999998</v>
      </c>
      <c r="C246" s="63">
        <f>4.3911 * CHOOSE(CONTROL!$C$22, $C$13, 100%, $E$13)</f>
        <v>4.3910999999999998</v>
      </c>
      <c r="D246" s="63">
        <f>4.3911 * CHOOSE(CONTROL!$C$22, $C$13, 100%, $E$13)</f>
        <v>4.3910999999999998</v>
      </c>
      <c r="E246" s="64">
        <f>5.24 * CHOOSE(CONTROL!$C$22, $C$13, 100%, $E$13)</f>
        <v>5.24</v>
      </c>
      <c r="F246" s="64">
        <f>5.24 * CHOOSE(CONTROL!$C$22, $C$13, 100%, $E$13)</f>
        <v>5.24</v>
      </c>
      <c r="G246" s="64">
        <f>5.2401 * CHOOSE(CONTROL!$C$22, $C$13, 100%, $E$13)</f>
        <v>5.2401</v>
      </c>
      <c r="H246" s="64">
        <f>9.0026* CHOOSE(CONTROL!$C$22, $C$13, 100%, $E$13)</f>
        <v>9.0025999999999993</v>
      </c>
      <c r="I246" s="64">
        <f>9.0026 * CHOOSE(CONTROL!$C$22, $C$13, 100%, $E$13)</f>
        <v>9.0025999999999993</v>
      </c>
      <c r="J246" s="64">
        <f>5.24 * CHOOSE(CONTROL!$C$22, $C$13, 100%, $E$13)</f>
        <v>5.24</v>
      </c>
      <c r="K246" s="64">
        <f>5.2401 * CHOOSE(CONTROL!$C$22, $C$13, 100%, $E$13)</f>
        <v>5.2401</v>
      </c>
    </row>
    <row r="247" spans="1:11" ht="15">
      <c r="A247" s="13">
        <v>49004</v>
      </c>
      <c r="B247" s="63">
        <f>4.3881 * CHOOSE(CONTROL!$C$22, $C$13, 100%, $E$13)</f>
        <v>4.3880999999999997</v>
      </c>
      <c r="C247" s="63">
        <f>4.3881 * CHOOSE(CONTROL!$C$22, $C$13, 100%, $E$13)</f>
        <v>4.3880999999999997</v>
      </c>
      <c r="D247" s="63">
        <f>4.3881 * CHOOSE(CONTROL!$C$22, $C$13, 100%, $E$13)</f>
        <v>4.3880999999999997</v>
      </c>
      <c r="E247" s="64">
        <f>5.304 * CHOOSE(CONTROL!$C$22, $C$13, 100%, $E$13)</f>
        <v>5.3040000000000003</v>
      </c>
      <c r="F247" s="64">
        <f>5.304 * CHOOSE(CONTROL!$C$22, $C$13, 100%, $E$13)</f>
        <v>5.3040000000000003</v>
      </c>
      <c r="G247" s="64">
        <f>5.304 * CHOOSE(CONTROL!$C$22, $C$13, 100%, $E$13)</f>
        <v>5.3040000000000003</v>
      </c>
      <c r="H247" s="64">
        <f>9.0213* CHOOSE(CONTROL!$C$22, $C$13, 100%, $E$13)</f>
        <v>9.0213000000000001</v>
      </c>
      <c r="I247" s="64">
        <f>9.0214 * CHOOSE(CONTROL!$C$22, $C$13, 100%, $E$13)</f>
        <v>9.0213999999999999</v>
      </c>
      <c r="J247" s="64">
        <f>5.304 * CHOOSE(CONTROL!$C$22, $C$13, 100%, $E$13)</f>
        <v>5.3040000000000003</v>
      </c>
      <c r="K247" s="64">
        <f>5.304 * CHOOSE(CONTROL!$C$22, $C$13, 100%, $E$13)</f>
        <v>5.3040000000000003</v>
      </c>
    </row>
    <row r="248" spans="1:11" ht="15">
      <c r="A248" s="13">
        <v>49035</v>
      </c>
      <c r="B248" s="63">
        <f>4.3861 * CHOOSE(CONTROL!$C$22, $C$13, 100%, $E$13)</f>
        <v>4.3860999999999999</v>
      </c>
      <c r="C248" s="63">
        <f>4.3861 * CHOOSE(CONTROL!$C$22, $C$13, 100%, $E$13)</f>
        <v>4.3860999999999999</v>
      </c>
      <c r="D248" s="63">
        <f>4.3861 * CHOOSE(CONTROL!$C$22, $C$13, 100%, $E$13)</f>
        <v>4.3860999999999999</v>
      </c>
      <c r="E248" s="64">
        <f>5.3707 * CHOOSE(CONTROL!$C$22, $C$13, 100%, $E$13)</f>
        <v>5.3707000000000003</v>
      </c>
      <c r="F248" s="64">
        <f>5.3707 * CHOOSE(CONTROL!$C$22, $C$13, 100%, $E$13)</f>
        <v>5.3707000000000003</v>
      </c>
      <c r="G248" s="64">
        <f>5.3707 * CHOOSE(CONTROL!$C$22, $C$13, 100%, $E$13)</f>
        <v>5.3707000000000003</v>
      </c>
      <c r="H248" s="64">
        <f>9.0401* CHOOSE(CONTROL!$C$22, $C$13, 100%, $E$13)</f>
        <v>9.0401000000000007</v>
      </c>
      <c r="I248" s="64">
        <f>9.0402 * CHOOSE(CONTROL!$C$22, $C$13, 100%, $E$13)</f>
        <v>9.0402000000000005</v>
      </c>
      <c r="J248" s="64">
        <f>5.3707 * CHOOSE(CONTROL!$C$22, $C$13, 100%, $E$13)</f>
        <v>5.3707000000000003</v>
      </c>
      <c r="K248" s="64">
        <f>5.3707 * CHOOSE(CONTROL!$C$22, $C$13, 100%, $E$13)</f>
        <v>5.3707000000000003</v>
      </c>
    </row>
    <row r="249" spans="1:11" ht="15">
      <c r="A249" s="13">
        <v>49065</v>
      </c>
      <c r="B249" s="63">
        <f>4.3861 * CHOOSE(CONTROL!$C$22, $C$13, 100%, $E$13)</f>
        <v>4.3860999999999999</v>
      </c>
      <c r="C249" s="63">
        <f>4.3861 * CHOOSE(CONTROL!$C$22, $C$13, 100%, $E$13)</f>
        <v>4.3860999999999999</v>
      </c>
      <c r="D249" s="63">
        <f>4.3942 * CHOOSE(CONTROL!$C$22, $C$13, 100%, $E$13)</f>
        <v>4.3941999999999997</v>
      </c>
      <c r="E249" s="64">
        <f>5.3973 * CHOOSE(CONTROL!$C$22, $C$13, 100%, $E$13)</f>
        <v>5.3973000000000004</v>
      </c>
      <c r="F249" s="64">
        <f>5.3973 * CHOOSE(CONTROL!$C$22, $C$13, 100%, $E$13)</f>
        <v>5.3973000000000004</v>
      </c>
      <c r="G249" s="64">
        <f>5.4071 * CHOOSE(CONTROL!$C$22, $C$13, 100%, $E$13)</f>
        <v>5.4070999999999998</v>
      </c>
      <c r="H249" s="64">
        <f>9.059* CHOOSE(CONTROL!$C$22, $C$13, 100%, $E$13)</f>
        <v>9.0589999999999993</v>
      </c>
      <c r="I249" s="64">
        <f>9.0688 * CHOOSE(CONTROL!$C$22, $C$13, 100%, $E$13)</f>
        <v>9.0687999999999995</v>
      </c>
      <c r="J249" s="64">
        <f>5.3973 * CHOOSE(CONTROL!$C$22, $C$13, 100%, $E$13)</f>
        <v>5.3973000000000004</v>
      </c>
      <c r="K249" s="64">
        <f>5.4071 * CHOOSE(CONTROL!$C$22, $C$13, 100%, $E$13)</f>
        <v>5.4070999999999998</v>
      </c>
    </row>
    <row r="250" spans="1:11" ht="15">
      <c r="A250" s="13">
        <v>49096</v>
      </c>
      <c r="B250" s="63">
        <f>4.3921 * CHOOSE(CONTROL!$C$22, $C$13, 100%, $E$13)</f>
        <v>4.3921000000000001</v>
      </c>
      <c r="C250" s="63">
        <f>4.3921 * CHOOSE(CONTROL!$C$22, $C$13, 100%, $E$13)</f>
        <v>4.3921000000000001</v>
      </c>
      <c r="D250" s="63">
        <f>4.4002 * CHOOSE(CONTROL!$C$22, $C$13, 100%, $E$13)</f>
        <v>4.4001999999999999</v>
      </c>
      <c r="E250" s="64">
        <f>5.3749 * CHOOSE(CONTROL!$C$22, $C$13, 100%, $E$13)</f>
        <v>5.3749000000000002</v>
      </c>
      <c r="F250" s="64">
        <f>5.3749 * CHOOSE(CONTROL!$C$22, $C$13, 100%, $E$13)</f>
        <v>5.3749000000000002</v>
      </c>
      <c r="G250" s="64">
        <f>5.3847 * CHOOSE(CONTROL!$C$22, $C$13, 100%, $E$13)</f>
        <v>5.3846999999999996</v>
      </c>
      <c r="H250" s="64">
        <f>9.0778* CHOOSE(CONTROL!$C$22, $C$13, 100%, $E$13)</f>
        <v>9.0777999999999999</v>
      </c>
      <c r="I250" s="64">
        <f>9.0877 * CHOOSE(CONTROL!$C$22, $C$13, 100%, $E$13)</f>
        <v>9.0876999999999999</v>
      </c>
      <c r="J250" s="64">
        <f>5.3749 * CHOOSE(CONTROL!$C$22, $C$13, 100%, $E$13)</f>
        <v>5.3749000000000002</v>
      </c>
      <c r="K250" s="64">
        <f>5.3847 * CHOOSE(CONTROL!$C$22, $C$13, 100%, $E$13)</f>
        <v>5.3846999999999996</v>
      </c>
    </row>
    <row r="251" spans="1:11" ht="15">
      <c r="A251" s="13">
        <v>49126</v>
      </c>
      <c r="B251" s="63">
        <f>4.4705 * CHOOSE(CONTROL!$C$22, $C$13, 100%, $E$13)</f>
        <v>4.4705000000000004</v>
      </c>
      <c r="C251" s="63">
        <f>4.4705 * CHOOSE(CONTROL!$C$22, $C$13, 100%, $E$13)</f>
        <v>4.4705000000000004</v>
      </c>
      <c r="D251" s="63">
        <f>4.4786 * CHOOSE(CONTROL!$C$22, $C$13, 100%, $E$13)</f>
        <v>4.4786000000000001</v>
      </c>
      <c r="E251" s="64">
        <f>5.4902 * CHOOSE(CONTROL!$C$22, $C$13, 100%, $E$13)</f>
        <v>5.4901999999999997</v>
      </c>
      <c r="F251" s="64">
        <f>5.4902 * CHOOSE(CONTROL!$C$22, $C$13, 100%, $E$13)</f>
        <v>5.4901999999999997</v>
      </c>
      <c r="G251" s="64">
        <f>5.5 * CHOOSE(CONTROL!$C$22, $C$13, 100%, $E$13)</f>
        <v>5.5</v>
      </c>
      <c r="H251" s="64">
        <f>9.0967* CHOOSE(CONTROL!$C$22, $C$13, 100%, $E$13)</f>
        <v>9.0967000000000002</v>
      </c>
      <c r="I251" s="64">
        <f>9.1066 * CHOOSE(CONTROL!$C$22, $C$13, 100%, $E$13)</f>
        <v>9.1066000000000003</v>
      </c>
      <c r="J251" s="64">
        <f>5.4902 * CHOOSE(CONTROL!$C$22, $C$13, 100%, $E$13)</f>
        <v>5.4901999999999997</v>
      </c>
      <c r="K251" s="64">
        <f>5.5 * CHOOSE(CONTROL!$C$22, $C$13, 100%, $E$13)</f>
        <v>5.5</v>
      </c>
    </row>
    <row r="252" spans="1:11" ht="15">
      <c r="A252" s="13">
        <v>49157</v>
      </c>
      <c r="B252" s="63">
        <f>4.4771 * CHOOSE(CONTROL!$C$22, $C$13, 100%, $E$13)</f>
        <v>4.4771000000000001</v>
      </c>
      <c r="C252" s="63">
        <f>4.4771 * CHOOSE(CONTROL!$C$22, $C$13, 100%, $E$13)</f>
        <v>4.4771000000000001</v>
      </c>
      <c r="D252" s="63">
        <f>4.4852 * CHOOSE(CONTROL!$C$22, $C$13, 100%, $E$13)</f>
        <v>4.4851999999999999</v>
      </c>
      <c r="E252" s="64">
        <f>5.4151 * CHOOSE(CONTROL!$C$22, $C$13, 100%, $E$13)</f>
        <v>5.4150999999999998</v>
      </c>
      <c r="F252" s="64">
        <f>5.4151 * CHOOSE(CONTROL!$C$22, $C$13, 100%, $E$13)</f>
        <v>5.4150999999999998</v>
      </c>
      <c r="G252" s="64">
        <f>5.4249 * CHOOSE(CONTROL!$C$22, $C$13, 100%, $E$13)</f>
        <v>5.4249000000000001</v>
      </c>
      <c r="H252" s="64">
        <f>9.1157* CHOOSE(CONTROL!$C$22, $C$13, 100%, $E$13)</f>
        <v>9.1157000000000004</v>
      </c>
      <c r="I252" s="64">
        <f>9.1255 * CHOOSE(CONTROL!$C$22, $C$13, 100%, $E$13)</f>
        <v>9.1255000000000006</v>
      </c>
      <c r="J252" s="64">
        <f>5.4151 * CHOOSE(CONTROL!$C$22, $C$13, 100%, $E$13)</f>
        <v>5.4150999999999998</v>
      </c>
      <c r="K252" s="64">
        <f>5.4249 * CHOOSE(CONTROL!$C$22, $C$13, 100%, $E$13)</f>
        <v>5.4249000000000001</v>
      </c>
    </row>
    <row r="253" spans="1:11" ht="15">
      <c r="A253" s="13">
        <v>49188</v>
      </c>
      <c r="B253" s="63">
        <f>4.4741 * CHOOSE(CONTROL!$C$22, $C$13, 100%, $E$13)</f>
        <v>4.4741</v>
      </c>
      <c r="C253" s="63">
        <f>4.4741 * CHOOSE(CONTROL!$C$22, $C$13, 100%, $E$13)</f>
        <v>4.4741</v>
      </c>
      <c r="D253" s="63">
        <f>4.4822 * CHOOSE(CONTROL!$C$22, $C$13, 100%, $E$13)</f>
        <v>4.4821999999999997</v>
      </c>
      <c r="E253" s="64">
        <f>5.4041 * CHOOSE(CONTROL!$C$22, $C$13, 100%, $E$13)</f>
        <v>5.4040999999999997</v>
      </c>
      <c r="F253" s="64">
        <f>5.4041 * CHOOSE(CONTROL!$C$22, $C$13, 100%, $E$13)</f>
        <v>5.4040999999999997</v>
      </c>
      <c r="G253" s="64">
        <f>5.4139 * CHOOSE(CONTROL!$C$22, $C$13, 100%, $E$13)</f>
        <v>5.4138999999999999</v>
      </c>
      <c r="H253" s="64">
        <f>9.1347* CHOOSE(CONTROL!$C$22, $C$13, 100%, $E$13)</f>
        <v>9.1347000000000005</v>
      </c>
      <c r="I253" s="64">
        <f>9.1445 * CHOOSE(CONTROL!$C$22, $C$13, 100%, $E$13)</f>
        <v>9.1445000000000007</v>
      </c>
      <c r="J253" s="64">
        <f>5.4041 * CHOOSE(CONTROL!$C$22, $C$13, 100%, $E$13)</f>
        <v>5.4040999999999997</v>
      </c>
      <c r="K253" s="64">
        <f>5.4139 * CHOOSE(CONTROL!$C$22, $C$13, 100%, $E$13)</f>
        <v>5.4138999999999999</v>
      </c>
    </row>
    <row r="254" spans="1:11" ht="15">
      <c r="A254" s="13">
        <v>49218</v>
      </c>
      <c r="B254" s="63">
        <f>4.4707 * CHOOSE(CONTROL!$C$22, $C$13, 100%, $E$13)</f>
        <v>4.4706999999999999</v>
      </c>
      <c r="C254" s="63">
        <f>4.4707 * CHOOSE(CONTROL!$C$22, $C$13, 100%, $E$13)</f>
        <v>4.4706999999999999</v>
      </c>
      <c r="D254" s="63">
        <f>4.4707 * CHOOSE(CONTROL!$C$22, $C$13, 100%, $E$13)</f>
        <v>4.4706999999999999</v>
      </c>
      <c r="E254" s="64">
        <f>5.4261 * CHOOSE(CONTROL!$C$22, $C$13, 100%, $E$13)</f>
        <v>5.4260999999999999</v>
      </c>
      <c r="F254" s="64">
        <f>5.4261 * CHOOSE(CONTROL!$C$22, $C$13, 100%, $E$13)</f>
        <v>5.4260999999999999</v>
      </c>
      <c r="G254" s="64">
        <f>5.4262 * CHOOSE(CONTROL!$C$22, $C$13, 100%, $E$13)</f>
        <v>5.4261999999999997</v>
      </c>
      <c r="H254" s="64">
        <f>9.1537* CHOOSE(CONTROL!$C$22, $C$13, 100%, $E$13)</f>
        <v>9.1537000000000006</v>
      </c>
      <c r="I254" s="64">
        <f>9.1538 * CHOOSE(CONTROL!$C$22, $C$13, 100%, $E$13)</f>
        <v>9.1538000000000004</v>
      </c>
      <c r="J254" s="64">
        <f>5.4261 * CHOOSE(CONTROL!$C$22, $C$13, 100%, $E$13)</f>
        <v>5.4260999999999999</v>
      </c>
      <c r="K254" s="64">
        <f>5.4262 * CHOOSE(CONTROL!$C$22, $C$13, 100%, $E$13)</f>
        <v>5.4261999999999997</v>
      </c>
    </row>
    <row r="255" spans="1:11" ht="15">
      <c r="A255" s="13">
        <v>49249</v>
      </c>
      <c r="B255" s="63">
        <f>4.4738 * CHOOSE(CONTROL!$C$22, $C$13, 100%, $E$13)</f>
        <v>4.4737999999999998</v>
      </c>
      <c r="C255" s="63">
        <f>4.4738 * CHOOSE(CONTROL!$C$22, $C$13, 100%, $E$13)</f>
        <v>4.4737999999999998</v>
      </c>
      <c r="D255" s="63">
        <f>4.4738 * CHOOSE(CONTROL!$C$22, $C$13, 100%, $E$13)</f>
        <v>4.4737999999999998</v>
      </c>
      <c r="E255" s="64">
        <f>5.446 * CHOOSE(CONTROL!$C$22, $C$13, 100%, $E$13)</f>
        <v>5.4459999999999997</v>
      </c>
      <c r="F255" s="64">
        <f>5.446 * CHOOSE(CONTROL!$C$22, $C$13, 100%, $E$13)</f>
        <v>5.4459999999999997</v>
      </c>
      <c r="G255" s="64">
        <f>5.4461 * CHOOSE(CONTROL!$C$22, $C$13, 100%, $E$13)</f>
        <v>5.4461000000000004</v>
      </c>
      <c r="H255" s="64">
        <f>9.1728* CHOOSE(CONTROL!$C$22, $C$13, 100%, $E$13)</f>
        <v>9.1728000000000005</v>
      </c>
      <c r="I255" s="64">
        <f>9.1729 * CHOOSE(CONTROL!$C$22, $C$13, 100%, $E$13)</f>
        <v>9.1729000000000003</v>
      </c>
      <c r="J255" s="64">
        <f>5.446 * CHOOSE(CONTROL!$C$22, $C$13, 100%, $E$13)</f>
        <v>5.4459999999999997</v>
      </c>
      <c r="K255" s="64">
        <f>5.4461 * CHOOSE(CONTROL!$C$22, $C$13, 100%, $E$13)</f>
        <v>5.4461000000000004</v>
      </c>
    </row>
    <row r="256" spans="1:11" ht="15">
      <c r="A256" s="13">
        <v>49279</v>
      </c>
      <c r="B256" s="63">
        <f>4.4738 * CHOOSE(CONTROL!$C$22, $C$13, 100%, $E$13)</f>
        <v>4.4737999999999998</v>
      </c>
      <c r="C256" s="63">
        <f>4.4738 * CHOOSE(CONTROL!$C$22, $C$13, 100%, $E$13)</f>
        <v>4.4737999999999998</v>
      </c>
      <c r="D256" s="63">
        <f>4.4738 * CHOOSE(CONTROL!$C$22, $C$13, 100%, $E$13)</f>
        <v>4.4737999999999998</v>
      </c>
      <c r="E256" s="64">
        <f>5.4016 * CHOOSE(CONTROL!$C$22, $C$13, 100%, $E$13)</f>
        <v>5.4016000000000002</v>
      </c>
      <c r="F256" s="64">
        <f>5.4016 * CHOOSE(CONTROL!$C$22, $C$13, 100%, $E$13)</f>
        <v>5.4016000000000002</v>
      </c>
      <c r="G256" s="64">
        <f>5.4017 * CHOOSE(CONTROL!$C$22, $C$13, 100%, $E$13)</f>
        <v>5.4016999999999999</v>
      </c>
      <c r="H256" s="64">
        <f>9.1919* CHOOSE(CONTROL!$C$22, $C$13, 100%, $E$13)</f>
        <v>9.1919000000000004</v>
      </c>
      <c r="I256" s="64">
        <f>9.192 * CHOOSE(CONTROL!$C$22, $C$13, 100%, $E$13)</f>
        <v>9.1920000000000002</v>
      </c>
      <c r="J256" s="64">
        <f>5.4016 * CHOOSE(CONTROL!$C$22, $C$13, 100%, $E$13)</f>
        <v>5.4016000000000002</v>
      </c>
      <c r="K256" s="64">
        <f>5.4017 * CHOOSE(CONTROL!$C$22, $C$13, 100%, $E$13)</f>
        <v>5.4016999999999999</v>
      </c>
    </row>
    <row r="257" spans="1:11" ht="15">
      <c r="A257" s="13">
        <v>49310</v>
      </c>
      <c r="B257" s="63">
        <f>4.515 * CHOOSE(CONTROL!$C$22, $C$13, 100%, $E$13)</f>
        <v>4.5149999999999997</v>
      </c>
      <c r="C257" s="63">
        <f>4.515 * CHOOSE(CONTROL!$C$22, $C$13, 100%, $E$13)</f>
        <v>4.5149999999999997</v>
      </c>
      <c r="D257" s="63">
        <f>4.515 * CHOOSE(CONTROL!$C$22, $C$13, 100%, $E$13)</f>
        <v>4.5149999999999997</v>
      </c>
      <c r="E257" s="64">
        <f>5.4889 * CHOOSE(CONTROL!$C$22, $C$13, 100%, $E$13)</f>
        <v>5.4889000000000001</v>
      </c>
      <c r="F257" s="64">
        <f>5.4889 * CHOOSE(CONTROL!$C$22, $C$13, 100%, $E$13)</f>
        <v>5.4889000000000001</v>
      </c>
      <c r="G257" s="64">
        <f>5.4889 * CHOOSE(CONTROL!$C$22, $C$13, 100%, $E$13)</f>
        <v>5.4889000000000001</v>
      </c>
      <c r="H257" s="64">
        <f>9.211* CHOOSE(CONTROL!$C$22, $C$13, 100%, $E$13)</f>
        <v>9.2110000000000003</v>
      </c>
      <c r="I257" s="64">
        <f>9.2111 * CHOOSE(CONTROL!$C$22, $C$13, 100%, $E$13)</f>
        <v>9.2111000000000001</v>
      </c>
      <c r="J257" s="64">
        <f>5.4889 * CHOOSE(CONTROL!$C$22, $C$13, 100%, $E$13)</f>
        <v>5.4889000000000001</v>
      </c>
      <c r="K257" s="64">
        <f>5.4889 * CHOOSE(CONTROL!$C$22, $C$13, 100%, $E$13)</f>
        <v>5.4889000000000001</v>
      </c>
    </row>
    <row r="258" spans="1:11" ht="15">
      <c r="A258" s="13">
        <v>49341</v>
      </c>
      <c r="B258" s="63">
        <f>4.5119 * CHOOSE(CONTROL!$C$22, $C$13, 100%, $E$13)</f>
        <v>4.5118999999999998</v>
      </c>
      <c r="C258" s="63">
        <f>4.5119 * CHOOSE(CONTROL!$C$22, $C$13, 100%, $E$13)</f>
        <v>4.5118999999999998</v>
      </c>
      <c r="D258" s="63">
        <f>4.5119 * CHOOSE(CONTROL!$C$22, $C$13, 100%, $E$13)</f>
        <v>4.5118999999999998</v>
      </c>
      <c r="E258" s="64">
        <f>5.4007 * CHOOSE(CONTROL!$C$22, $C$13, 100%, $E$13)</f>
        <v>5.4006999999999996</v>
      </c>
      <c r="F258" s="64">
        <f>5.4007 * CHOOSE(CONTROL!$C$22, $C$13, 100%, $E$13)</f>
        <v>5.4006999999999996</v>
      </c>
      <c r="G258" s="64">
        <f>5.4008 * CHOOSE(CONTROL!$C$22, $C$13, 100%, $E$13)</f>
        <v>5.4008000000000003</v>
      </c>
      <c r="H258" s="64">
        <f>9.2302* CHOOSE(CONTROL!$C$22, $C$13, 100%, $E$13)</f>
        <v>9.2302</v>
      </c>
      <c r="I258" s="64">
        <f>9.2303 * CHOOSE(CONTROL!$C$22, $C$13, 100%, $E$13)</f>
        <v>9.2302999999999997</v>
      </c>
      <c r="J258" s="64">
        <f>5.4007 * CHOOSE(CONTROL!$C$22, $C$13, 100%, $E$13)</f>
        <v>5.4006999999999996</v>
      </c>
      <c r="K258" s="64">
        <f>5.4008 * CHOOSE(CONTROL!$C$22, $C$13, 100%, $E$13)</f>
        <v>5.4008000000000003</v>
      </c>
    </row>
    <row r="259" spans="1:11" ht="15">
      <c r="A259" s="13">
        <v>49369</v>
      </c>
      <c r="B259" s="63">
        <f>4.5089 * CHOOSE(CONTROL!$C$22, $C$13, 100%, $E$13)</f>
        <v>4.5088999999999997</v>
      </c>
      <c r="C259" s="63">
        <f>4.5089 * CHOOSE(CONTROL!$C$22, $C$13, 100%, $E$13)</f>
        <v>4.5088999999999997</v>
      </c>
      <c r="D259" s="63">
        <f>4.5089 * CHOOSE(CONTROL!$C$22, $C$13, 100%, $E$13)</f>
        <v>4.5088999999999997</v>
      </c>
      <c r="E259" s="64">
        <f>5.4664 * CHOOSE(CONTROL!$C$22, $C$13, 100%, $E$13)</f>
        <v>5.4664000000000001</v>
      </c>
      <c r="F259" s="64">
        <f>5.4664 * CHOOSE(CONTROL!$C$22, $C$13, 100%, $E$13)</f>
        <v>5.4664000000000001</v>
      </c>
      <c r="G259" s="64">
        <f>5.4665 * CHOOSE(CONTROL!$C$22, $C$13, 100%, $E$13)</f>
        <v>5.4664999999999999</v>
      </c>
      <c r="H259" s="64">
        <f>9.2495* CHOOSE(CONTROL!$C$22, $C$13, 100%, $E$13)</f>
        <v>9.2494999999999994</v>
      </c>
      <c r="I259" s="64">
        <f>9.2495 * CHOOSE(CONTROL!$C$22, $C$13, 100%, $E$13)</f>
        <v>9.2494999999999994</v>
      </c>
      <c r="J259" s="64">
        <f>5.4664 * CHOOSE(CONTROL!$C$22, $C$13, 100%, $E$13)</f>
        <v>5.4664000000000001</v>
      </c>
      <c r="K259" s="64">
        <f>5.4665 * CHOOSE(CONTROL!$C$22, $C$13, 100%, $E$13)</f>
        <v>5.4664999999999999</v>
      </c>
    </row>
    <row r="260" spans="1:11" ht="15">
      <c r="A260" s="13">
        <v>49400</v>
      </c>
      <c r="B260" s="63">
        <f>4.507 * CHOOSE(CONTROL!$C$22, $C$13, 100%, $E$13)</f>
        <v>4.5069999999999997</v>
      </c>
      <c r="C260" s="63">
        <f>4.507 * CHOOSE(CONTROL!$C$22, $C$13, 100%, $E$13)</f>
        <v>4.5069999999999997</v>
      </c>
      <c r="D260" s="63">
        <f>4.507 * CHOOSE(CONTROL!$C$22, $C$13, 100%, $E$13)</f>
        <v>4.5069999999999997</v>
      </c>
      <c r="E260" s="64">
        <f>5.535 * CHOOSE(CONTROL!$C$22, $C$13, 100%, $E$13)</f>
        <v>5.5350000000000001</v>
      </c>
      <c r="F260" s="64">
        <f>5.535 * CHOOSE(CONTROL!$C$22, $C$13, 100%, $E$13)</f>
        <v>5.5350000000000001</v>
      </c>
      <c r="G260" s="64">
        <f>5.5351 * CHOOSE(CONTROL!$C$22, $C$13, 100%, $E$13)</f>
        <v>5.5350999999999999</v>
      </c>
      <c r="H260" s="64">
        <f>9.2687* CHOOSE(CONTROL!$C$22, $C$13, 100%, $E$13)</f>
        <v>9.2687000000000008</v>
      </c>
      <c r="I260" s="64">
        <f>9.2688 * CHOOSE(CONTROL!$C$22, $C$13, 100%, $E$13)</f>
        <v>9.2688000000000006</v>
      </c>
      <c r="J260" s="64">
        <f>5.535 * CHOOSE(CONTROL!$C$22, $C$13, 100%, $E$13)</f>
        <v>5.5350000000000001</v>
      </c>
      <c r="K260" s="64">
        <f>5.5351 * CHOOSE(CONTROL!$C$22, $C$13, 100%, $E$13)</f>
        <v>5.5350999999999999</v>
      </c>
    </row>
    <row r="261" spans="1:11" ht="15">
      <c r="A261" s="13">
        <v>49430</v>
      </c>
      <c r="B261" s="63">
        <f>4.507 * CHOOSE(CONTROL!$C$22, $C$13, 100%, $E$13)</f>
        <v>4.5069999999999997</v>
      </c>
      <c r="C261" s="63">
        <f>4.507 * CHOOSE(CONTROL!$C$22, $C$13, 100%, $E$13)</f>
        <v>4.5069999999999997</v>
      </c>
      <c r="D261" s="63">
        <f>4.5151 * CHOOSE(CONTROL!$C$22, $C$13, 100%, $E$13)</f>
        <v>4.5151000000000003</v>
      </c>
      <c r="E261" s="64">
        <f>5.5623 * CHOOSE(CONTROL!$C$22, $C$13, 100%, $E$13)</f>
        <v>5.5622999999999996</v>
      </c>
      <c r="F261" s="64">
        <f>5.5623 * CHOOSE(CONTROL!$C$22, $C$13, 100%, $E$13)</f>
        <v>5.5622999999999996</v>
      </c>
      <c r="G261" s="64">
        <f>5.5722 * CHOOSE(CONTROL!$C$22, $C$13, 100%, $E$13)</f>
        <v>5.5721999999999996</v>
      </c>
      <c r="H261" s="64">
        <f>9.288* CHOOSE(CONTROL!$C$22, $C$13, 100%, $E$13)</f>
        <v>9.2880000000000003</v>
      </c>
      <c r="I261" s="64">
        <f>9.2979 * CHOOSE(CONTROL!$C$22, $C$13, 100%, $E$13)</f>
        <v>9.2979000000000003</v>
      </c>
      <c r="J261" s="64">
        <f>5.5623 * CHOOSE(CONTROL!$C$22, $C$13, 100%, $E$13)</f>
        <v>5.5622999999999996</v>
      </c>
      <c r="K261" s="64">
        <f>5.5722 * CHOOSE(CONTROL!$C$22, $C$13, 100%, $E$13)</f>
        <v>5.5721999999999996</v>
      </c>
    </row>
    <row r="262" spans="1:11" ht="15">
      <c r="A262" s="13">
        <v>49461</v>
      </c>
      <c r="B262" s="63">
        <f>4.5131 * CHOOSE(CONTROL!$C$22, $C$13, 100%, $E$13)</f>
        <v>4.5130999999999997</v>
      </c>
      <c r="C262" s="63">
        <f>4.5131 * CHOOSE(CONTROL!$C$22, $C$13, 100%, $E$13)</f>
        <v>4.5130999999999997</v>
      </c>
      <c r="D262" s="63">
        <f>4.5212 * CHOOSE(CONTROL!$C$22, $C$13, 100%, $E$13)</f>
        <v>4.5212000000000003</v>
      </c>
      <c r="E262" s="64">
        <f>5.5393 * CHOOSE(CONTROL!$C$22, $C$13, 100%, $E$13)</f>
        <v>5.5392999999999999</v>
      </c>
      <c r="F262" s="64">
        <f>5.5393 * CHOOSE(CONTROL!$C$22, $C$13, 100%, $E$13)</f>
        <v>5.5392999999999999</v>
      </c>
      <c r="G262" s="64">
        <f>5.5491 * CHOOSE(CONTROL!$C$22, $C$13, 100%, $E$13)</f>
        <v>5.5491000000000001</v>
      </c>
      <c r="H262" s="64">
        <f>9.3074* CHOOSE(CONTROL!$C$22, $C$13, 100%, $E$13)</f>
        <v>9.3073999999999995</v>
      </c>
      <c r="I262" s="64">
        <f>9.3172 * CHOOSE(CONTROL!$C$22, $C$13, 100%, $E$13)</f>
        <v>9.3171999999999997</v>
      </c>
      <c r="J262" s="64">
        <f>5.5393 * CHOOSE(CONTROL!$C$22, $C$13, 100%, $E$13)</f>
        <v>5.5392999999999999</v>
      </c>
      <c r="K262" s="64">
        <f>5.5491 * CHOOSE(CONTROL!$C$22, $C$13, 100%, $E$13)</f>
        <v>5.5491000000000001</v>
      </c>
    </row>
    <row r="263" spans="1:11" ht="15">
      <c r="A263" s="13">
        <v>49491</v>
      </c>
      <c r="B263" s="63">
        <f>4.5909 * CHOOSE(CONTROL!$C$22, $C$13, 100%, $E$13)</f>
        <v>4.5909000000000004</v>
      </c>
      <c r="C263" s="63">
        <f>4.5909 * CHOOSE(CONTROL!$C$22, $C$13, 100%, $E$13)</f>
        <v>4.5909000000000004</v>
      </c>
      <c r="D263" s="63">
        <f>4.599 * CHOOSE(CONTROL!$C$22, $C$13, 100%, $E$13)</f>
        <v>4.5990000000000002</v>
      </c>
      <c r="E263" s="64">
        <f>5.6624 * CHOOSE(CONTROL!$C$22, $C$13, 100%, $E$13)</f>
        <v>5.6623999999999999</v>
      </c>
      <c r="F263" s="64">
        <f>5.6624 * CHOOSE(CONTROL!$C$22, $C$13, 100%, $E$13)</f>
        <v>5.6623999999999999</v>
      </c>
      <c r="G263" s="64">
        <f>5.6722 * CHOOSE(CONTROL!$C$22, $C$13, 100%, $E$13)</f>
        <v>5.6722000000000001</v>
      </c>
      <c r="H263" s="64">
        <f>9.3268* CHOOSE(CONTROL!$C$22, $C$13, 100%, $E$13)</f>
        <v>9.3268000000000004</v>
      </c>
      <c r="I263" s="64">
        <f>9.3366 * CHOOSE(CONTROL!$C$22, $C$13, 100%, $E$13)</f>
        <v>9.3366000000000007</v>
      </c>
      <c r="J263" s="64">
        <f>5.6624 * CHOOSE(CONTROL!$C$22, $C$13, 100%, $E$13)</f>
        <v>5.6623999999999999</v>
      </c>
      <c r="K263" s="64">
        <f>5.6722 * CHOOSE(CONTROL!$C$22, $C$13, 100%, $E$13)</f>
        <v>5.6722000000000001</v>
      </c>
    </row>
    <row r="264" spans="1:11" ht="15">
      <c r="A264" s="13">
        <v>49522</v>
      </c>
      <c r="B264" s="63">
        <f>4.5975 * CHOOSE(CONTROL!$C$22, $C$13, 100%, $E$13)</f>
        <v>4.5975000000000001</v>
      </c>
      <c r="C264" s="63">
        <f>4.5975 * CHOOSE(CONTROL!$C$22, $C$13, 100%, $E$13)</f>
        <v>4.5975000000000001</v>
      </c>
      <c r="D264" s="63">
        <f>4.6057 * CHOOSE(CONTROL!$C$22, $C$13, 100%, $E$13)</f>
        <v>4.6056999999999997</v>
      </c>
      <c r="E264" s="64">
        <f>5.5851 * CHOOSE(CONTROL!$C$22, $C$13, 100%, $E$13)</f>
        <v>5.5850999999999997</v>
      </c>
      <c r="F264" s="64">
        <f>5.5851 * CHOOSE(CONTROL!$C$22, $C$13, 100%, $E$13)</f>
        <v>5.5850999999999997</v>
      </c>
      <c r="G264" s="64">
        <f>5.5949 * CHOOSE(CONTROL!$C$22, $C$13, 100%, $E$13)</f>
        <v>5.5949</v>
      </c>
      <c r="H264" s="64">
        <f>9.3462* CHOOSE(CONTROL!$C$22, $C$13, 100%, $E$13)</f>
        <v>9.3461999999999996</v>
      </c>
      <c r="I264" s="64">
        <f>9.356 * CHOOSE(CONTROL!$C$22, $C$13, 100%, $E$13)</f>
        <v>9.3559999999999999</v>
      </c>
      <c r="J264" s="64">
        <f>5.5851 * CHOOSE(CONTROL!$C$22, $C$13, 100%, $E$13)</f>
        <v>5.5850999999999997</v>
      </c>
      <c r="K264" s="64">
        <f>5.5949 * CHOOSE(CONTROL!$C$22, $C$13, 100%, $E$13)</f>
        <v>5.5949</v>
      </c>
    </row>
    <row r="265" spans="1:11" ht="15">
      <c r="A265" s="13">
        <v>49553</v>
      </c>
      <c r="B265" s="63">
        <f>4.5945 * CHOOSE(CONTROL!$C$22, $C$13, 100%, $E$13)</f>
        <v>4.5945</v>
      </c>
      <c r="C265" s="63">
        <f>4.5945 * CHOOSE(CONTROL!$C$22, $C$13, 100%, $E$13)</f>
        <v>4.5945</v>
      </c>
      <c r="D265" s="63">
        <f>4.6026 * CHOOSE(CONTROL!$C$22, $C$13, 100%, $E$13)</f>
        <v>4.6025999999999998</v>
      </c>
      <c r="E265" s="64">
        <f>5.5739 * CHOOSE(CONTROL!$C$22, $C$13, 100%, $E$13)</f>
        <v>5.5739000000000001</v>
      </c>
      <c r="F265" s="64">
        <f>5.5739 * CHOOSE(CONTROL!$C$22, $C$13, 100%, $E$13)</f>
        <v>5.5739000000000001</v>
      </c>
      <c r="G265" s="64">
        <f>5.5837 * CHOOSE(CONTROL!$C$22, $C$13, 100%, $E$13)</f>
        <v>5.5837000000000003</v>
      </c>
      <c r="H265" s="64">
        <f>9.3657* CHOOSE(CONTROL!$C$22, $C$13, 100%, $E$13)</f>
        <v>9.3657000000000004</v>
      </c>
      <c r="I265" s="64">
        <f>9.3755 * CHOOSE(CONTROL!$C$22, $C$13, 100%, $E$13)</f>
        <v>9.3755000000000006</v>
      </c>
      <c r="J265" s="64">
        <f>5.5739 * CHOOSE(CONTROL!$C$22, $C$13, 100%, $E$13)</f>
        <v>5.5739000000000001</v>
      </c>
      <c r="K265" s="64">
        <f>5.5837 * CHOOSE(CONTROL!$C$22, $C$13, 100%, $E$13)</f>
        <v>5.5837000000000003</v>
      </c>
    </row>
    <row r="266" spans="1:11" ht="15">
      <c r="A266" s="13">
        <v>49583</v>
      </c>
      <c r="B266" s="63">
        <f>4.5915 * CHOOSE(CONTROL!$C$22, $C$13, 100%, $E$13)</f>
        <v>4.5914999999999999</v>
      </c>
      <c r="C266" s="63">
        <f>4.5915 * CHOOSE(CONTROL!$C$22, $C$13, 100%, $E$13)</f>
        <v>4.5914999999999999</v>
      </c>
      <c r="D266" s="63">
        <f>4.5915 * CHOOSE(CONTROL!$C$22, $C$13, 100%, $E$13)</f>
        <v>4.5914999999999999</v>
      </c>
      <c r="E266" s="64">
        <f>5.5969 * CHOOSE(CONTROL!$C$22, $C$13, 100%, $E$13)</f>
        <v>5.5968999999999998</v>
      </c>
      <c r="F266" s="64">
        <f>5.5969 * CHOOSE(CONTROL!$C$22, $C$13, 100%, $E$13)</f>
        <v>5.5968999999999998</v>
      </c>
      <c r="G266" s="64">
        <f>5.5969 * CHOOSE(CONTROL!$C$22, $C$13, 100%, $E$13)</f>
        <v>5.5968999999999998</v>
      </c>
      <c r="H266" s="64">
        <f>9.3852* CHOOSE(CONTROL!$C$22, $C$13, 100%, $E$13)</f>
        <v>9.3851999999999993</v>
      </c>
      <c r="I266" s="64">
        <f>9.3853 * CHOOSE(CONTROL!$C$22, $C$13, 100%, $E$13)</f>
        <v>9.3853000000000009</v>
      </c>
      <c r="J266" s="64">
        <f>5.5969 * CHOOSE(CONTROL!$C$22, $C$13, 100%, $E$13)</f>
        <v>5.5968999999999998</v>
      </c>
      <c r="K266" s="64">
        <f>5.5969 * CHOOSE(CONTROL!$C$22, $C$13, 100%, $E$13)</f>
        <v>5.5968999999999998</v>
      </c>
    </row>
    <row r="267" spans="1:11" ht="15">
      <c r="A267" s="13">
        <v>49614</v>
      </c>
      <c r="B267" s="63">
        <f>4.5946 * CHOOSE(CONTROL!$C$22, $C$13, 100%, $E$13)</f>
        <v>4.5945999999999998</v>
      </c>
      <c r="C267" s="63">
        <f>4.5946 * CHOOSE(CONTROL!$C$22, $C$13, 100%, $E$13)</f>
        <v>4.5945999999999998</v>
      </c>
      <c r="D267" s="63">
        <f>4.5946 * CHOOSE(CONTROL!$C$22, $C$13, 100%, $E$13)</f>
        <v>4.5945999999999998</v>
      </c>
      <c r="E267" s="64">
        <f>5.6172 * CHOOSE(CONTROL!$C$22, $C$13, 100%, $E$13)</f>
        <v>5.6172000000000004</v>
      </c>
      <c r="F267" s="64">
        <f>5.6172 * CHOOSE(CONTROL!$C$22, $C$13, 100%, $E$13)</f>
        <v>5.6172000000000004</v>
      </c>
      <c r="G267" s="64">
        <f>5.6173 * CHOOSE(CONTROL!$C$22, $C$13, 100%, $E$13)</f>
        <v>5.6173000000000002</v>
      </c>
      <c r="H267" s="64">
        <f>9.4047* CHOOSE(CONTROL!$C$22, $C$13, 100%, $E$13)</f>
        <v>9.4047000000000001</v>
      </c>
      <c r="I267" s="64">
        <f>9.4048 * CHOOSE(CONTROL!$C$22, $C$13, 100%, $E$13)</f>
        <v>9.4047999999999998</v>
      </c>
      <c r="J267" s="64">
        <f>5.6172 * CHOOSE(CONTROL!$C$22, $C$13, 100%, $E$13)</f>
        <v>5.6172000000000004</v>
      </c>
      <c r="K267" s="64">
        <f>5.6173 * CHOOSE(CONTROL!$C$22, $C$13, 100%, $E$13)</f>
        <v>5.6173000000000002</v>
      </c>
    </row>
    <row r="268" spans="1:11" ht="15">
      <c r="A268" s="13">
        <v>49644</v>
      </c>
      <c r="B268" s="63">
        <f>4.5946 * CHOOSE(CONTROL!$C$22, $C$13, 100%, $E$13)</f>
        <v>4.5945999999999998</v>
      </c>
      <c r="C268" s="63">
        <f>4.5946 * CHOOSE(CONTROL!$C$22, $C$13, 100%, $E$13)</f>
        <v>4.5945999999999998</v>
      </c>
      <c r="D268" s="63">
        <f>4.5946 * CHOOSE(CONTROL!$C$22, $C$13, 100%, $E$13)</f>
        <v>4.5945999999999998</v>
      </c>
      <c r="E268" s="64">
        <f>5.5717 * CHOOSE(CONTROL!$C$22, $C$13, 100%, $E$13)</f>
        <v>5.5716999999999999</v>
      </c>
      <c r="F268" s="64">
        <f>5.5717 * CHOOSE(CONTROL!$C$22, $C$13, 100%, $E$13)</f>
        <v>5.5716999999999999</v>
      </c>
      <c r="G268" s="64">
        <f>5.5717 * CHOOSE(CONTROL!$C$22, $C$13, 100%, $E$13)</f>
        <v>5.5716999999999999</v>
      </c>
      <c r="H268" s="64">
        <f>9.4243* CHOOSE(CONTROL!$C$22, $C$13, 100%, $E$13)</f>
        <v>9.4243000000000006</v>
      </c>
      <c r="I268" s="64">
        <f>9.4244 * CHOOSE(CONTROL!$C$22, $C$13, 100%, $E$13)</f>
        <v>9.4244000000000003</v>
      </c>
      <c r="J268" s="64">
        <f>5.5717 * CHOOSE(CONTROL!$C$22, $C$13, 100%, $E$13)</f>
        <v>5.5716999999999999</v>
      </c>
      <c r="K268" s="64">
        <f>5.5717 * CHOOSE(CONTROL!$C$22, $C$13, 100%, $E$13)</f>
        <v>5.5716999999999999</v>
      </c>
    </row>
    <row r="269" spans="1:11" ht="15">
      <c r="A269" s="13">
        <v>49675</v>
      </c>
      <c r="B269" s="63">
        <f>4.6362 * CHOOSE(CONTROL!$C$22, $C$13, 100%, $E$13)</f>
        <v>4.6361999999999997</v>
      </c>
      <c r="C269" s="63">
        <f>4.6362 * CHOOSE(CONTROL!$C$22, $C$13, 100%, $E$13)</f>
        <v>4.6361999999999997</v>
      </c>
      <c r="D269" s="63">
        <f>4.6362 * CHOOSE(CONTROL!$C$22, $C$13, 100%, $E$13)</f>
        <v>4.6361999999999997</v>
      </c>
      <c r="E269" s="64">
        <f>5.6558 * CHOOSE(CONTROL!$C$22, $C$13, 100%, $E$13)</f>
        <v>5.6558000000000002</v>
      </c>
      <c r="F269" s="64">
        <f>5.6558 * CHOOSE(CONTROL!$C$22, $C$13, 100%, $E$13)</f>
        <v>5.6558000000000002</v>
      </c>
      <c r="G269" s="64">
        <f>5.6559 * CHOOSE(CONTROL!$C$22, $C$13, 100%, $E$13)</f>
        <v>5.6558999999999999</v>
      </c>
      <c r="H269" s="64">
        <f>9.444* CHOOSE(CONTROL!$C$22, $C$13, 100%, $E$13)</f>
        <v>9.4440000000000008</v>
      </c>
      <c r="I269" s="64">
        <f>9.4441 * CHOOSE(CONTROL!$C$22, $C$13, 100%, $E$13)</f>
        <v>9.4441000000000006</v>
      </c>
      <c r="J269" s="64">
        <f>5.6558 * CHOOSE(CONTROL!$C$22, $C$13, 100%, $E$13)</f>
        <v>5.6558000000000002</v>
      </c>
      <c r="K269" s="64">
        <f>5.6559 * CHOOSE(CONTROL!$C$22, $C$13, 100%, $E$13)</f>
        <v>5.6558999999999999</v>
      </c>
    </row>
    <row r="270" spans="1:11" ht="15">
      <c r="A270" s="13">
        <v>49706</v>
      </c>
      <c r="B270" s="63">
        <f>4.6332 * CHOOSE(CONTROL!$C$22, $C$13, 100%, $E$13)</f>
        <v>4.6332000000000004</v>
      </c>
      <c r="C270" s="63">
        <f>4.6332 * CHOOSE(CONTROL!$C$22, $C$13, 100%, $E$13)</f>
        <v>4.6332000000000004</v>
      </c>
      <c r="D270" s="63">
        <f>4.6332 * CHOOSE(CONTROL!$C$22, $C$13, 100%, $E$13)</f>
        <v>4.6332000000000004</v>
      </c>
      <c r="E270" s="64">
        <f>5.5653 * CHOOSE(CONTROL!$C$22, $C$13, 100%, $E$13)</f>
        <v>5.5652999999999997</v>
      </c>
      <c r="F270" s="64">
        <f>5.5653 * CHOOSE(CONTROL!$C$22, $C$13, 100%, $E$13)</f>
        <v>5.5652999999999997</v>
      </c>
      <c r="G270" s="64">
        <f>5.5654 * CHOOSE(CONTROL!$C$22, $C$13, 100%, $E$13)</f>
        <v>5.5654000000000003</v>
      </c>
      <c r="H270" s="64">
        <f>9.4636* CHOOSE(CONTROL!$C$22, $C$13, 100%, $E$13)</f>
        <v>9.4635999999999996</v>
      </c>
      <c r="I270" s="64">
        <f>9.4637 * CHOOSE(CONTROL!$C$22, $C$13, 100%, $E$13)</f>
        <v>9.4636999999999993</v>
      </c>
      <c r="J270" s="64">
        <f>5.5653 * CHOOSE(CONTROL!$C$22, $C$13, 100%, $E$13)</f>
        <v>5.5652999999999997</v>
      </c>
      <c r="K270" s="64">
        <f>5.5654 * CHOOSE(CONTROL!$C$22, $C$13, 100%, $E$13)</f>
        <v>5.5654000000000003</v>
      </c>
    </row>
    <row r="271" spans="1:11" ht="15">
      <c r="A271" s="13">
        <v>49735</v>
      </c>
      <c r="B271" s="63">
        <f>4.6301 * CHOOSE(CONTROL!$C$22, $C$13, 100%, $E$13)</f>
        <v>4.6300999999999997</v>
      </c>
      <c r="C271" s="63">
        <f>4.6301 * CHOOSE(CONTROL!$C$22, $C$13, 100%, $E$13)</f>
        <v>4.6300999999999997</v>
      </c>
      <c r="D271" s="63">
        <f>4.6301 * CHOOSE(CONTROL!$C$22, $C$13, 100%, $E$13)</f>
        <v>4.6300999999999997</v>
      </c>
      <c r="E271" s="64">
        <f>5.6329 * CHOOSE(CONTROL!$C$22, $C$13, 100%, $E$13)</f>
        <v>5.6329000000000002</v>
      </c>
      <c r="F271" s="64">
        <f>5.6329 * CHOOSE(CONTROL!$C$22, $C$13, 100%, $E$13)</f>
        <v>5.6329000000000002</v>
      </c>
      <c r="G271" s="64">
        <f>5.633 * CHOOSE(CONTROL!$C$22, $C$13, 100%, $E$13)</f>
        <v>5.633</v>
      </c>
      <c r="H271" s="64">
        <f>9.4834* CHOOSE(CONTROL!$C$22, $C$13, 100%, $E$13)</f>
        <v>9.4833999999999996</v>
      </c>
      <c r="I271" s="64">
        <f>9.4834 * CHOOSE(CONTROL!$C$22, $C$13, 100%, $E$13)</f>
        <v>9.4833999999999996</v>
      </c>
      <c r="J271" s="64">
        <f>5.6329 * CHOOSE(CONTROL!$C$22, $C$13, 100%, $E$13)</f>
        <v>5.6329000000000002</v>
      </c>
      <c r="K271" s="64">
        <f>5.633 * CHOOSE(CONTROL!$C$22, $C$13, 100%, $E$13)</f>
        <v>5.633</v>
      </c>
    </row>
    <row r="272" spans="1:11" ht="15">
      <c r="A272" s="13">
        <v>49766</v>
      </c>
      <c r="B272" s="63">
        <f>4.6283 * CHOOSE(CONTROL!$C$22, $C$13, 100%, $E$13)</f>
        <v>4.6283000000000003</v>
      </c>
      <c r="C272" s="63">
        <f>4.6283 * CHOOSE(CONTROL!$C$22, $C$13, 100%, $E$13)</f>
        <v>4.6283000000000003</v>
      </c>
      <c r="D272" s="63">
        <f>4.6283 * CHOOSE(CONTROL!$C$22, $C$13, 100%, $E$13)</f>
        <v>4.6283000000000003</v>
      </c>
      <c r="E272" s="64">
        <f>5.7035 * CHOOSE(CONTROL!$C$22, $C$13, 100%, $E$13)</f>
        <v>5.7035</v>
      </c>
      <c r="F272" s="64">
        <f>5.7035 * CHOOSE(CONTROL!$C$22, $C$13, 100%, $E$13)</f>
        <v>5.7035</v>
      </c>
      <c r="G272" s="64">
        <f>5.7036 * CHOOSE(CONTROL!$C$22, $C$13, 100%, $E$13)</f>
        <v>5.7035999999999998</v>
      </c>
      <c r="H272" s="64">
        <f>9.5031* CHOOSE(CONTROL!$C$22, $C$13, 100%, $E$13)</f>
        <v>9.5030999999999999</v>
      </c>
      <c r="I272" s="64">
        <f>9.5032 * CHOOSE(CONTROL!$C$22, $C$13, 100%, $E$13)</f>
        <v>9.5031999999999996</v>
      </c>
      <c r="J272" s="64">
        <f>5.7035 * CHOOSE(CONTROL!$C$22, $C$13, 100%, $E$13)</f>
        <v>5.7035</v>
      </c>
      <c r="K272" s="64">
        <f>5.7036 * CHOOSE(CONTROL!$C$22, $C$13, 100%, $E$13)</f>
        <v>5.7035999999999998</v>
      </c>
    </row>
    <row r="273" spans="1:11" ht="15">
      <c r="A273" s="13">
        <v>49796</v>
      </c>
      <c r="B273" s="63">
        <f>4.6283 * CHOOSE(CONTROL!$C$22, $C$13, 100%, $E$13)</f>
        <v>4.6283000000000003</v>
      </c>
      <c r="C273" s="63">
        <f>4.6283 * CHOOSE(CONTROL!$C$22, $C$13, 100%, $E$13)</f>
        <v>4.6283000000000003</v>
      </c>
      <c r="D273" s="63">
        <f>4.6364 * CHOOSE(CONTROL!$C$22, $C$13, 100%, $E$13)</f>
        <v>4.6364000000000001</v>
      </c>
      <c r="E273" s="64">
        <f>5.7315 * CHOOSE(CONTROL!$C$22, $C$13, 100%, $E$13)</f>
        <v>5.7314999999999996</v>
      </c>
      <c r="F273" s="64">
        <f>5.7315 * CHOOSE(CONTROL!$C$22, $C$13, 100%, $E$13)</f>
        <v>5.7314999999999996</v>
      </c>
      <c r="G273" s="64">
        <f>5.7414 * CHOOSE(CONTROL!$C$22, $C$13, 100%, $E$13)</f>
        <v>5.7413999999999996</v>
      </c>
      <c r="H273" s="64">
        <f>9.5229* CHOOSE(CONTROL!$C$22, $C$13, 100%, $E$13)</f>
        <v>9.5228999999999999</v>
      </c>
      <c r="I273" s="64">
        <f>9.5328 * CHOOSE(CONTROL!$C$22, $C$13, 100%, $E$13)</f>
        <v>9.5327999999999999</v>
      </c>
      <c r="J273" s="64">
        <f>5.7315 * CHOOSE(CONTROL!$C$22, $C$13, 100%, $E$13)</f>
        <v>5.7314999999999996</v>
      </c>
      <c r="K273" s="64">
        <f>5.7414 * CHOOSE(CONTROL!$C$22, $C$13, 100%, $E$13)</f>
        <v>5.7413999999999996</v>
      </c>
    </row>
    <row r="274" spans="1:11" ht="15">
      <c r="A274" s="13">
        <v>49827</v>
      </c>
      <c r="B274" s="63">
        <f>4.6344 * CHOOSE(CONTROL!$C$22, $C$13, 100%, $E$13)</f>
        <v>4.6344000000000003</v>
      </c>
      <c r="C274" s="63">
        <f>4.6344 * CHOOSE(CONTROL!$C$22, $C$13, 100%, $E$13)</f>
        <v>4.6344000000000003</v>
      </c>
      <c r="D274" s="63">
        <f>4.6425 * CHOOSE(CONTROL!$C$22, $C$13, 100%, $E$13)</f>
        <v>4.6425000000000001</v>
      </c>
      <c r="E274" s="64">
        <f>5.7077 * CHOOSE(CONTROL!$C$22, $C$13, 100%, $E$13)</f>
        <v>5.7077</v>
      </c>
      <c r="F274" s="64">
        <f>5.7077 * CHOOSE(CONTROL!$C$22, $C$13, 100%, $E$13)</f>
        <v>5.7077</v>
      </c>
      <c r="G274" s="64">
        <f>5.7175 * CHOOSE(CONTROL!$C$22, $C$13, 100%, $E$13)</f>
        <v>5.7175000000000002</v>
      </c>
      <c r="H274" s="64">
        <f>9.5428* CHOOSE(CONTROL!$C$22, $C$13, 100%, $E$13)</f>
        <v>9.5427999999999997</v>
      </c>
      <c r="I274" s="64">
        <f>9.5526 * CHOOSE(CONTROL!$C$22, $C$13, 100%, $E$13)</f>
        <v>9.5526</v>
      </c>
      <c r="J274" s="64">
        <f>5.7077 * CHOOSE(CONTROL!$C$22, $C$13, 100%, $E$13)</f>
        <v>5.7077</v>
      </c>
      <c r="K274" s="64">
        <f>5.7175 * CHOOSE(CONTROL!$C$22, $C$13, 100%, $E$13)</f>
        <v>5.7175000000000002</v>
      </c>
    </row>
    <row r="275" spans="1:11" ht="15">
      <c r="A275" s="13">
        <v>49857</v>
      </c>
      <c r="B275" s="63">
        <f>4.7122 * CHOOSE(CONTROL!$C$22, $C$13, 100%, $E$13)</f>
        <v>4.7122000000000002</v>
      </c>
      <c r="C275" s="63">
        <f>4.7122 * CHOOSE(CONTROL!$C$22, $C$13, 100%, $E$13)</f>
        <v>4.7122000000000002</v>
      </c>
      <c r="D275" s="63">
        <f>4.7203 * CHOOSE(CONTROL!$C$22, $C$13, 100%, $E$13)</f>
        <v>4.7202999999999999</v>
      </c>
      <c r="E275" s="64">
        <f>5.8199 * CHOOSE(CONTROL!$C$22, $C$13, 100%, $E$13)</f>
        <v>5.8198999999999996</v>
      </c>
      <c r="F275" s="64">
        <f>5.8199 * CHOOSE(CONTROL!$C$22, $C$13, 100%, $E$13)</f>
        <v>5.8198999999999996</v>
      </c>
      <c r="G275" s="64">
        <f>5.8297 * CHOOSE(CONTROL!$C$22, $C$13, 100%, $E$13)</f>
        <v>5.8296999999999999</v>
      </c>
      <c r="H275" s="64">
        <f>9.5626* CHOOSE(CONTROL!$C$22, $C$13, 100%, $E$13)</f>
        <v>9.5625999999999998</v>
      </c>
      <c r="I275" s="64">
        <f>9.5725 * CHOOSE(CONTROL!$C$22, $C$13, 100%, $E$13)</f>
        <v>9.5724999999999998</v>
      </c>
      <c r="J275" s="64">
        <f>5.8199 * CHOOSE(CONTROL!$C$22, $C$13, 100%, $E$13)</f>
        <v>5.8198999999999996</v>
      </c>
      <c r="K275" s="64">
        <f>5.8297 * CHOOSE(CONTROL!$C$22, $C$13, 100%, $E$13)</f>
        <v>5.8296999999999999</v>
      </c>
    </row>
    <row r="276" spans="1:11" ht="15">
      <c r="A276" s="13">
        <v>49888</v>
      </c>
      <c r="B276" s="63">
        <f>4.7188 * CHOOSE(CONTROL!$C$22, $C$13, 100%, $E$13)</f>
        <v>4.7187999999999999</v>
      </c>
      <c r="C276" s="63">
        <f>4.7188 * CHOOSE(CONTROL!$C$22, $C$13, 100%, $E$13)</f>
        <v>4.7187999999999999</v>
      </c>
      <c r="D276" s="63">
        <f>4.727 * CHOOSE(CONTROL!$C$22, $C$13, 100%, $E$13)</f>
        <v>4.7270000000000003</v>
      </c>
      <c r="E276" s="64">
        <f>5.7404 * CHOOSE(CONTROL!$C$22, $C$13, 100%, $E$13)</f>
        <v>5.7404000000000002</v>
      </c>
      <c r="F276" s="64">
        <f>5.7404 * CHOOSE(CONTROL!$C$22, $C$13, 100%, $E$13)</f>
        <v>5.7404000000000002</v>
      </c>
      <c r="G276" s="64">
        <f>5.7502 * CHOOSE(CONTROL!$C$22, $C$13, 100%, $E$13)</f>
        <v>5.7502000000000004</v>
      </c>
      <c r="H276" s="64">
        <f>9.5826* CHOOSE(CONTROL!$C$22, $C$13, 100%, $E$13)</f>
        <v>9.5825999999999993</v>
      </c>
      <c r="I276" s="64">
        <f>9.5924 * CHOOSE(CONTROL!$C$22, $C$13, 100%, $E$13)</f>
        <v>9.5923999999999996</v>
      </c>
      <c r="J276" s="64">
        <f>5.7404 * CHOOSE(CONTROL!$C$22, $C$13, 100%, $E$13)</f>
        <v>5.7404000000000002</v>
      </c>
      <c r="K276" s="64">
        <f>5.7502 * CHOOSE(CONTROL!$C$22, $C$13, 100%, $E$13)</f>
        <v>5.7502000000000004</v>
      </c>
    </row>
    <row r="277" spans="1:11" ht="15">
      <c r="A277" s="13">
        <v>49919</v>
      </c>
      <c r="B277" s="63">
        <f>4.7158 * CHOOSE(CONTROL!$C$22, $C$13, 100%, $E$13)</f>
        <v>4.7157999999999998</v>
      </c>
      <c r="C277" s="63">
        <f>4.7158 * CHOOSE(CONTROL!$C$22, $C$13, 100%, $E$13)</f>
        <v>4.7157999999999998</v>
      </c>
      <c r="D277" s="63">
        <f>4.7239 * CHOOSE(CONTROL!$C$22, $C$13, 100%, $E$13)</f>
        <v>4.7239000000000004</v>
      </c>
      <c r="E277" s="64">
        <f>5.7289 * CHOOSE(CONTROL!$C$22, $C$13, 100%, $E$13)</f>
        <v>5.7289000000000003</v>
      </c>
      <c r="F277" s="64">
        <f>5.7289 * CHOOSE(CONTROL!$C$22, $C$13, 100%, $E$13)</f>
        <v>5.7289000000000003</v>
      </c>
      <c r="G277" s="64">
        <f>5.7387 * CHOOSE(CONTROL!$C$22, $C$13, 100%, $E$13)</f>
        <v>5.7386999999999997</v>
      </c>
      <c r="H277" s="64">
        <f>9.6025* CHOOSE(CONTROL!$C$22, $C$13, 100%, $E$13)</f>
        <v>9.6024999999999991</v>
      </c>
      <c r="I277" s="64">
        <f>9.6124 * CHOOSE(CONTROL!$C$22, $C$13, 100%, $E$13)</f>
        <v>9.6123999999999992</v>
      </c>
      <c r="J277" s="64">
        <f>5.7289 * CHOOSE(CONTROL!$C$22, $C$13, 100%, $E$13)</f>
        <v>5.7289000000000003</v>
      </c>
      <c r="K277" s="64">
        <f>5.7387 * CHOOSE(CONTROL!$C$22, $C$13, 100%, $E$13)</f>
        <v>5.7386999999999997</v>
      </c>
    </row>
    <row r="278" spans="1:11" ht="15">
      <c r="A278" s="13">
        <v>49949</v>
      </c>
      <c r="B278" s="63">
        <f>4.7132 * CHOOSE(CONTROL!$C$22, $C$13, 100%, $E$13)</f>
        <v>4.7131999999999996</v>
      </c>
      <c r="C278" s="63">
        <f>4.7132 * CHOOSE(CONTROL!$C$22, $C$13, 100%, $E$13)</f>
        <v>4.7131999999999996</v>
      </c>
      <c r="D278" s="63">
        <f>4.7132 * CHOOSE(CONTROL!$C$22, $C$13, 100%, $E$13)</f>
        <v>4.7131999999999996</v>
      </c>
      <c r="E278" s="64">
        <f>5.7529 * CHOOSE(CONTROL!$C$22, $C$13, 100%, $E$13)</f>
        <v>5.7529000000000003</v>
      </c>
      <c r="F278" s="64">
        <f>5.7529 * CHOOSE(CONTROL!$C$22, $C$13, 100%, $E$13)</f>
        <v>5.7529000000000003</v>
      </c>
      <c r="G278" s="64">
        <f>5.753 * CHOOSE(CONTROL!$C$22, $C$13, 100%, $E$13)</f>
        <v>5.7530000000000001</v>
      </c>
      <c r="H278" s="64">
        <f>9.6225* CHOOSE(CONTROL!$C$22, $C$13, 100%, $E$13)</f>
        <v>9.6225000000000005</v>
      </c>
      <c r="I278" s="64">
        <f>9.6226 * CHOOSE(CONTROL!$C$22, $C$13, 100%, $E$13)</f>
        <v>9.6226000000000003</v>
      </c>
      <c r="J278" s="64">
        <f>5.7529 * CHOOSE(CONTROL!$C$22, $C$13, 100%, $E$13)</f>
        <v>5.7529000000000003</v>
      </c>
      <c r="K278" s="64">
        <f>5.753 * CHOOSE(CONTROL!$C$22, $C$13, 100%, $E$13)</f>
        <v>5.7530000000000001</v>
      </c>
    </row>
    <row r="279" spans="1:11" ht="15">
      <c r="A279" s="13">
        <v>49980</v>
      </c>
      <c r="B279" s="63">
        <f>4.7163 * CHOOSE(CONTROL!$C$22, $C$13, 100%, $E$13)</f>
        <v>4.7163000000000004</v>
      </c>
      <c r="C279" s="63">
        <f>4.7163 * CHOOSE(CONTROL!$C$22, $C$13, 100%, $E$13)</f>
        <v>4.7163000000000004</v>
      </c>
      <c r="D279" s="63">
        <f>4.7163 * CHOOSE(CONTROL!$C$22, $C$13, 100%, $E$13)</f>
        <v>4.7163000000000004</v>
      </c>
      <c r="E279" s="64">
        <f>5.7737 * CHOOSE(CONTROL!$C$22, $C$13, 100%, $E$13)</f>
        <v>5.7736999999999998</v>
      </c>
      <c r="F279" s="64">
        <f>5.7737 * CHOOSE(CONTROL!$C$22, $C$13, 100%, $E$13)</f>
        <v>5.7736999999999998</v>
      </c>
      <c r="G279" s="64">
        <f>5.7738 * CHOOSE(CONTROL!$C$22, $C$13, 100%, $E$13)</f>
        <v>5.7737999999999996</v>
      </c>
      <c r="H279" s="64">
        <f>9.6426* CHOOSE(CONTROL!$C$22, $C$13, 100%, $E$13)</f>
        <v>9.6425999999999998</v>
      </c>
      <c r="I279" s="64">
        <f>9.6427 * CHOOSE(CONTROL!$C$22, $C$13, 100%, $E$13)</f>
        <v>9.6426999999999996</v>
      </c>
      <c r="J279" s="64">
        <f>5.7737 * CHOOSE(CONTROL!$C$22, $C$13, 100%, $E$13)</f>
        <v>5.7736999999999998</v>
      </c>
      <c r="K279" s="64">
        <f>5.7738 * CHOOSE(CONTROL!$C$22, $C$13, 100%, $E$13)</f>
        <v>5.7737999999999996</v>
      </c>
    </row>
    <row r="280" spans="1:11" ht="15">
      <c r="A280" s="13">
        <v>50010</v>
      </c>
      <c r="B280" s="63">
        <f>4.7163 * CHOOSE(CONTROL!$C$22, $C$13, 100%, $E$13)</f>
        <v>4.7163000000000004</v>
      </c>
      <c r="C280" s="63">
        <f>4.7163 * CHOOSE(CONTROL!$C$22, $C$13, 100%, $E$13)</f>
        <v>4.7163000000000004</v>
      </c>
      <c r="D280" s="63">
        <f>4.7163 * CHOOSE(CONTROL!$C$22, $C$13, 100%, $E$13)</f>
        <v>4.7163000000000004</v>
      </c>
      <c r="E280" s="64">
        <f>5.7269 * CHOOSE(CONTROL!$C$22, $C$13, 100%, $E$13)</f>
        <v>5.7268999999999997</v>
      </c>
      <c r="F280" s="64">
        <f>5.7269 * CHOOSE(CONTROL!$C$22, $C$13, 100%, $E$13)</f>
        <v>5.7268999999999997</v>
      </c>
      <c r="G280" s="64">
        <f>5.727 * CHOOSE(CONTROL!$C$22, $C$13, 100%, $E$13)</f>
        <v>5.7270000000000003</v>
      </c>
      <c r="H280" s="64">
        <f>9.6627* CHOOSE(CONTROL!$C$22, $C$13, 100%, $E$13)</f>
        <v>9.6626999999999992</v>
      </c>
      <c r="I280" s="64">
        <f>9.6627 * CHOOSE(CONTROL!$C$22, $C$13, 100%, $E$13)</f>
        <v>9.6626999999999992</v>
      </c>
      <c r="J280" s="64">
        <f>5.7269 * CHOOSE(CONTROL!$C$22, $C$13, 100%, $E$13)</f>
        <v>5.7268999999999997</v>
      </c>
      <c r="K280" s="64">
        <f>5.727 * CHOOSE(CONTROL!$C$22, $C$13, 100%, $E$13)</f>
        <v>5.7270000000000003</v>
      </c>
    </row>
    <row r="281" spans="1:11" ht="15">
      <c r="A281" s="13">
        <v>50041</v>
      </c>
      <c r="B281" s="63">
        <f>4.7586 * CHOOSE(CONTROL!$C$22, $C$13, 100%, $E$13)</f>
        <v>4.7586000000000004</v>
      </c>
      <c r="C281" s="63">
        <f>4.7586 * CHOOSE(CONTROL!$C$22, $C$13, 100%, $E$13)</f>
        <v>4.7586000000000004</v>
      </c>
      <c r="D281" s="63">
        <f>4.7586 * CHOOSE(CONTROL!$C$22, $C$13, 100%, $E$13)</f>
        <v>4.7586000000000004</v>
      </c>
      <c r="E281" s="64">
        <f>5.8119 * CHOOSE(CONTROL!$C$22, $C$13, 100%, $E$13)</f>
        <v>5.8118999999999996</v>
      </c>
      <c r="F281" s="64">
        <f>5.8119 * CHOOSE(CONTROL!$C$22, $C$13, 100%, $E$13)</f>
        <v>5.8118999999999996</v>
      </c>
      <c r="G281" s="64">
        <f>5.812 * CHOOSE(CONTROL!$C$22, $C$13, 100%, $E$13)</f>
        <v>5.8120000000000003</v>
      </c>
      <c r="H281" s="64">
        <f>9.6828* CHOOSE(CONTROL!$C$22, $C$13, 100%, $E$13)</f>
        <v>9.6828000000000003</v>
      </c>
      <c r="I281" s="64">
        <f>9.6829 * CHOOSE(CONTROL!$C$22, $C$13, 100%, $E$13)</f>
        <v>9.6829000000000001</v>
      </c>
      <c r="J281" s="64">
        <f>5.8119 * CHOOSE(CONTROL!$C$22, $C$13, 100%, $E$13)</f>
        <v>5.8118999999999996</v>
      </c>
      <c r="K281" s="64">
        <f>5.812 * CHOOSE(CONTROL!$C$22, $C$13, 100%, $E$13)</f>
        <v>5.8120000000000003</v>
      </c>
    </row>
    <row r="282" spans="1:11" ht="15">
      <c r="A282" s="13">
        <v>50072</v>
      </c>
      <c r="B282" s="63">
        <f>4.7555 * CHOOSE(CONTROL!$C$22, $C$13, 100%, $E$13)</f>
        <v>4.7554999999999996</v>
      </c>
      <c r="C282" s="63">
        <f>4.7555 * CHOOSE(CONTROL!$C$22, $C$13, 100%, $E$13)</f>
        <v>4.7554999999999996</v>
      </c>
      <c r="D282" s="63">
        <f>4.7555 * CHOOSE(CONTROL!$C$22, $C$13, 100%, $E$13)</f>
        <v>4.7554999999999996</v>
      </c>
      <c r="E282" s="64">
        <f>5.719 * CHOOSE(CONTROL!$C$22, $C$13, 100%, $E$13)</f>
        <v>5.7190000000000003</v>
      </c>
      <c r="F282" s="64">
        <f>5.719 * CHOOSE(CONTROL!$C$22, $C$13, 100%, $E$13)</f>
        <v>5.7190000000000003</v>
      </c>
      <c r="G282" s="64">
        <f>5.7191 * CHOOSE(CONTROL!$C$22, $C$13, 100%, $E$13)</f>
        <v>5.7191000000000001</v>
      </c>
      <c r="H282" s="64">
        <f>9.703* CHOOSE(CONTROL!$C$22, $C$13, 100%, $E$13)</f>
        <v>9.7029999999999994</v>
      </c>
      <c r="I282" s="64">
        <f>9.7031 * CHOOSE(CONTROL!$C$22, $C$13, 100%, $E$13)</f>
        <v>9.7030999999999992</v>
      </c>
      <c r="J282" s="64">
        <f>5.719 * CHOOSE(CONTROL!$C$22, $C$13, 100%, $E$13)</f>
        <v>5.7190000000000003</v>
      </c>
      <c r="K282" s="64">
        <f>5.7191 * CHOOSE(CONTROL!$C$22, $C$13, 100%, $E$13)</f>
        <v>5.7191000000000001</v>
      </c>
    </row>
    <row r="283" spans="1:11" ht="15">
      <c r="A283" s="13">
        <v>50100</v>
      </c>
      <c r="B283" s="63">
        <f>4.7525 * CHOOSE(CONTROL!$C$22, $C$13, 100%, $E$13)</f>
        <v>4.7525000000000004</v>
      </c>
      <c r="C283" s="63">
        <f>4.7525 * CHOOSE(CONTROL!$C$22, $C$13, 100%, $E$13)</f>
        <v>4.7525000000000004</v>
      </c>
      <c r="D283" s="63">
        <f>4.7525 * CHOOSE(CONTROL!$C$22, $C$13, 100%, $E$13)</f>
        <v>4.7525000000000004</v>
      </c>
      <c r="E283" s="64">
        <f>5.7884 * CHOOSE(CONTROL!$C$22, $C$13, 100%, $E$13)</f>
        <v>5.7884000000000002</v>
      </c>
      <c r="F283" s="64">
        <f>5.7884 * CHOOSE(CONTROL!$C$22, $C$13, 100%, $E$13)</f>
        <v>5.7884000000000002</v>
      </c>
      <c r="G283" s="64">
        <f>5.7885 * CHOOSE(CONTROL!$C$22, $C$13, 100%, $E$13)</f>
        <v>5.7885</v>
      </c>
      <c r="H283" s="64">
        <f>9.7232* CHOOSE(CONTROL!$C$22, $C$13, 100%, $E$13)</f>
        <v>9.7232000000000003</v>
      </c>
      <c r="I283" s="64">
        <f>9.7233 * CHOOSE(CONTROL!$C$22, $C$13, 100%, $E$13)</f>
        <v>9.7233000000000001</v>
      </c>
      <c r="J283" s="64">
        <f>5.7884 * CHOOSE(CONTROL!$C$22, $C$13, 100%, $E$13)</f>
        <v>5.7884000000000002</v>
      </c>
      <c r="K283" s="64">
        <f>5.7885 * CHOOSE(CONTROL!$C$22, $C$13, 100%, $E$13)</f>
        <v>5.7885</v>
      </c>
    </row>
    <row r="284" spans="1:11" ht="15">
      <c r="A284" s="13">
        <v>50131</v>
      </c>
      <c r="B284" s="63">
        <f>4.7508 * CHOOSE(CONTROL!$C$22, $C$13, 100%, $E$13)</f>
        <v>4.7507999999999999</v>
      </c>
      <c r="C284" s="63">
        <f>4.7508 * CHOOSE(CONTROL!$C$22, $C$13, 100%, $E$13)</f>
        <v>4.7507999999999999</v>
      </c>
      <c r="D284" s="63">
        <f>4.7508 * CHOOSE(CONTROL!$C$22, $C$13, 100%, $E$13)</f>
        <v>4.7507999999999999</v>
      </c>
      <c r="E284" s="64">
        <f>5.861 * CHOOSE(CONTROL!$C$22, $C$13, 100%, $E$13)</f>
        <v>5.8609999999999998</v>
      </c>
      <c r="F284" s="64">
        <f>5.861 * CHOOSE(CONTROL!$C$22, $C$13, 100%, $E$13)</f>
        <v>5.8609999999999998</v>
      </c>
      <c r="G284" s="64">
        <f>5.8611 * CHOOSE(CONTROL!$C$22, $C$13, 100%, $E$13)</f>
        <v>5.8611000000000004</v>
      </c>
      <c r="H284" s="64">
        <f>9.7434* CHOOSE(CONTROL!$C$22, $C$13, 100%, $E$13)</f>
        <v>9.7433999999999994</v>
      </c>
      <c r="I284" s="64">
        <f>9.7435 * CHOOSE(CONTROL!$C$22, $C$13, 100%, $E$13)</f>
        <v>9.7434999999999992</v>
      </c>
      <c r="J284" s="64">
        <f>5.861 * CHOOSE(CONTROL!$C$22, $C$13, 100%, $E$13)</f>
        <v>5.8609999999999998</v>
      </c>
      <c r="K284" s="64">
        <f>5.8611 * CHOOSE(CONTROL!$C$22, $C$13, 100%, $E$13)</f>
        <v>5.8611000000000004</v>
      </c>
    </row>
    <row r="285" spans="1:11" ht="15">
      <c r="A285" s="13">
        <v>50161</v>
      </c>
      <c r="B285" s="63">
        <f>4.7508 * CHOOSE(CONTROL!$C$22, $C$13, 100%, $E$13)</f>
        <v>4.7507999999999999</v>
      </c>
      <c r="C285" s="63">
        <f>4.7508 * CHOOSE(CONTROL!$C$22, $C$13, 100%, $E$13)</f>
        <v>4.7507999999999999</v>
      </c>
      <c r="D285" s="63">
        <f>4.7589 * CHOOSE(CONTROL!$C$22, $C$13, 100%, $E$13)</f>
        <v>4.7588999999999997</v>
      </c>
      <c r="E285" s="64">
        <f>5.8898 * CHOOSE(CONTROL!$C$22, $C$13, 100%, $E$13)</f>
        <v>5.8898000000000001</v>
      </c>
      <c r="F285" s="64">
        <f>5.8898 * CHOOSE(CONTROL!$C$22, $C$13, 100%, $E$13)</f>
        <v>5.8898000000000001</v>
      </c>
      <c r="G285" s="64">
        <f>5.8997 * CHOOSE(CONTROL!$C$22, $C$13, 100%, $E$13)</f>
        <v>5.8997000000000002</v>
      </c>
      <c r="H285" s="64">
        <f>9.7637* CHOOSE(CONTROL!$C$22, $C$13, 100%, $E$13)</f>
        <v>9.7637</v>
      </c>
      <c r="I285" s="64">
        <f>9.7736 * CHOOSE(CONTROL!$C$22, $C$13, 100%, $E$13)</f>
        <v>9.7736000000000001</v>
      </c>
      <c r="J285" s="64">
        <f>5.8898 * CHOOSE(CONTROL!$C$22, $C$13, 100%, $E$13)</f>
        <v>5.8898000000000001</v>
      </c>
      <c r="K285" s="64">
        <f>5.8997 * CHOOSE(CONTROL!$C$22, $C$13, 100%, $E$13)</f>
        <v>5.8997000000000002</v>
      </c>
    </row>
    <row r="286" spans="1:11" ht="15">
      <c r="A286" s="13">
        <v>50192</v>
      </c>
      <c r="B286" s="63">
        <f>4.7569 * CHOOSE(CONTROL!$C$22, $C$13, 100%, $E$13)</f>
        <v>4.7568999999999999</v>
      </c>
      <c r="C286" s="63">
        <f>4.7569 * CHOOSE(CONTROL!$C$22, $C$13, 100%, $E$13)</f>
        <v>4.7568999999999999</v>
      </c>
      <c r="D286" s="63">
        <f>4.765 * CHOOSE(CONTROL!$C$22, $C$13, 100%, $E$13)</f>
        <v>4.7649999999999997</v>
      </c>
      <c r="E286" s="64">
        <f>5.8653 * CHOOSE(CONTROL!$C$22, $C$13, 100%, $E$13)</f>
        <v>5.8653000000000004</v>
      </c>
      <c r="F286" s="64">
        <f>5.8653 * CHOOSE(CONTROL!$C$22, $C$13, 100%, $E$13)</f>
        <v>5.8653000000000004</v>
      </c>
      <c r="G286" s="64">
        <f>5.8751 * CHOOSE(CONTROL!$C$22, $C$13, 100%, $E$13)</f>
        <v>5.8750999999999998</v>
      </c>
      <c r="H286" s="64">
        <f>9.7841* CHOOSE(CONTROL!$C$22, $C$13, 100%, $E$13)</f>
        <v>9.7841000000000005</v>
      </c>
      <c r="I286" s="64">
        <f>9.7939 * CHOOSE(CONTROL!$C$22, $C$13, 100%, $E$13)</f>
        <v>9.7939000000000007</v>
      </c>
      <c r="J286" s="64">
        <f>5.8653 * CHOOSE(CONTROL!$C$22, $C$13, 100%, $E$13)</f>
        <v>5.8653000000000004</v>
      </c>
      <c r="K286" s="64">
        <f>5.8751 * CHOOSE(CONTROL!$C$22, $C$13, 100%, $E$13)</f>
        <v>5.8750999999999998</v>
      </c>
    </row>
    <row r="287" spans="1:11" ht="15">
      <c r="A287" s="13">
        <v>50222</v>
      </c>
      <c r="B287" s="63">
        <f>4.836 * CHOOSE(CONTROL!$C$22, $C$13, 100%, $E$13)</f>
        <v>4.8360000000000003</v>
      </c>
      <c r="C287" s="63">
        <f>4.836 * CHOOSE(CONTROL!$C$22, $C$13, 100%, $E$13)</f>
        <v>4.8360000000000003</v>
      </c>
      <c r="D287" s="63">
        <f>4.8441 * CHOOSE(CONTROL!$C$22, $C$13, 100%, $E$13)</f>
        <v>4.8441000000000001</v>
      </c>
      <c r="E287" s="64">
        <f>5.9773 * CHOOSE(CONTROL!$C$22, $C$13, 100%, $E$13)</f>
        <v>5.9772999999999996</v>
      </c>
      <c r="F287" s="64">
        <f>5.9773 * CHOOSE(CONTROL!$C$22, $C$13, 100%, $E$13)</f>
        <v>5.9772999999999996</v>
      </c>
      <c r="G287" s="64">
        <f>5.9871 * CHOOSE(CONTROL!$C$22, $C$13, 100%, $E$13)</f>
        <v>5.9870999999999999</v>
      </c>
      <c r="H287" s="64">
        <f>9.8045* CHOOSE(CONTROL!$C$22, $C$13, 100%, $E$13)</f>
        <v>9.8045000000000009</v>
      </c>
      <c r="I287" s="64">
        <f>9.8143 * CHOOSE(CONTROL!$C$22, $C$13, 100%, $E$13)</f>
        <v>9.8142999999999994</v>
      </c>
      <c r="J287" s="64">
        <f>5.9773 * CHOOSE(CONTROL!$C$22, $C$13, 100%, $E$13)</f>
        <v>5.9772999999999996</v>
      </c>
      <c r="K287" s="64">
        <f>5.9871 * CHOOSE(CONTROL!$C$22, $C$13, 100%, $E$13)</f>
        <v>5.9870999999999999</v>
      </c>
    </row>
    <row r="288" spans="1:11" ht="15">
      <c r="A288" s="13">
        <v>50253</v>
      </c>
      <c r="B288" s="63">
        <f>4.8427 * CHOOSE(CONTROL!$C$22, $C$13, 100%, $E$13)</f>
        <v>4.8426999999999998</v>
      </c>
      <c r="C288" s="63">
        <f>4.8427 * CHOOSE(CONTROL!$C$22, $C$13, 100%, $E$13)</f>
        <v>4.8426999999999998</v>
      </c>
      <c r="D288" s="63">
        <f>4.8508 * CHOOSE(CONTROL!$C$22, $C$13, 100%, $E$13)</f>
        <v>4.8507999999999996</v>
      </c>
      <c r="E288" s="64">
        <f>5.8955 * CHOOSE(CONTROL!$C$22, $C$13, 100%, $E$13)</f>
        <v>5.8955000000000002</v>
      </c>
      <c r="F288" s="64">
        <f>5.8955 * CHOOSE(CONTROL!$C$22, $C$13, 100%, $E$13)</f>
        <v>5.8955000000000002</v>
      </c>
      <c r="G288" s="64">
        <f>5.9053 * CHOOSE(CONTROL!$C$22, $C$13, 100%, $E$13)</f>
        <v>5.9053000000000004</v>
      </c>
      <c r="H288" s="64">
        <f>9.8249* CHOOSE(CONTROL!$C$22, $C$13, 100%, $E$13)</f>
        <v>9.8248999999999995</v>
      </c>
      <c r="I288" s="64">
        <f>9.8347 * CHOOSE(CONTROL!$C$22, $C$13, 100%, $E$13)</f>
        <v>9.8346999999999998</v>
      </c>
      <c r="J288" s="64">
        <f>5.8955 * CHOOSE(CONTROL!$C$22, $C$13, 100%, $E$13)</f>
        <v>5.8955000000000002</v>
      </c>
      <c r="K288" s="64">
        <f>5.9053 * CHOOSE(CONTROL!$C$22, $C$13, 100%, $E$13)</f>
        <v>5.9053000000000004</v>
      </c>
    </row>
    <row r="289" spans="1:11" ht="15">
      <c r="A289" s="13">
        <v>50284</v>
      </c>
      <c r="B289" s="63">
        <f>4.8396 * CHOOSE(CONTROL!$C$22, $C$13, 100%, $E$13)</f>
        <v>4.8395999999999999</v>
      </c>
      <c r="C289" s="63">
        <f>4.8396 * CHOOSE(CONTROL!$C$22, $C$13, 100%, $E$13)</f>
        <v>4.8395999999999999</v>
      </c>
      <c r="D289" s="63">
        <f>4.8477 * CHOOSE(CONTROL!$C$22, $C$13, 100%, $E$13)</f>
        <v>4.8476999999999997</v>
      </c>
      <c r="E289" s="64">
        <f>5.8837 * CHOOSE(CONTROL!$C$22, $C$13, 100%, $E$13)</f>
        <v>5.8837000000000002</v>
      </c>
      <c r="F289" s="64">
        <f>5.8837 * CHOOSE(CONTROL!$C$22, $C$13, 100%, $E$13)</f>
        <v>5.8837000000000002</v>
      </c>
      <c r="G289" s="64">
        <f>5.8936 * CHOOSE(CONTROL!$C$22, $C$13, 100%, $E$13)</f>
        <v>5.8936000000000002</v>
      </c>
      <c r="H289" s="64">
        <f>9.8454* CHOOSE(CONTROL!$C$22, $C$13, 100%, $E$13)</f>
        <v>9.8453999999999997</v>
      </c>
      <c r="I289" s="64">
        <f>9.8552 * CHOOSE(CONTROL!$C$22, $C$13, 100%, $E$13)</f>
        <v>9.8552</v>
      </c>
      <c r="J289" s="64">
        <f>5.8837 * CHOOSE(CONTROL!$C$22, $C$13, 100%, $E$13)</f>
        <v>5.8837000000000002</v>
      </c>
      <c r="K289" s="64">
        <f>5.8936 * CHOOSE(CONTROL!$C$22, $C$13, 100%, $E$13)</f>
        <v>5.8936000000000002</v>
      </c>
    </row>
    <row r="290" spans="1:11" ht="15">
      <c r="A290" s="13">
        <v>50314</v>
      </c>
      <c r="B290" s="63">
        <f>4.8375 * CHOOSE(CONTROL!$C$22, $C$13, 100%, $E$13)</f>
        <v>4.8375000000000004</v>
      </c>
      <c r="C290" s="63">
        <f>4.8375 * CHOOSE(CONTROL!$C$22, $C$13, 100%, $E$13)</f>
        <v>4.8375000000000004</v>
      </c>
      <c r="D290" s="63">
        <f>4.8375 * CHOOSE(CONTROL!$C$22, $C$13, 100%, $E$13)</f>
        <v>4.8375000000000004</v>
      </c>
      <c r="E290" s="64">
        <f>5.9087 * CHOOSE(CONTROL!$C$22, $C$13, 100%, $E$13)</f>
        <v>5.9086999999999996</v>
      </c>
      <c r="F290" s="64">
        <f>5.9087 * CHOOSE(CONTROL!$C$22, $C$13, 100%, $E$13)</f>
        <v>5.9086999999999996</v>
      </c>
      <c r="G290" s="64">
        <f>5.9088 * CHOOSE(CONTROL!$C$22, $C$13, 100%, $E$13)</f>
        <v>5.9088000000000003</v>
      </c>
      <c r="H290" s="64">
        <f>9.8659* CHOOSE(CONTROL!$C$22, $C$13, 100%, $E$13)</f>
        <v>9.8658999999999999</v>
      </c>
      <c r="I290" s="64">
        <f>9.866 * CHOOSE(CONTROL!$C$22, $C$13, 100%, $E$13)</f>
        <v>9.8659999999999997</v>
      </c>
      <c r="J290" s="64">
        <f>5.9087 * CHOOSE(CONTROL!$C$22, $C$13, 100%, $E$13)</f>
        <v>5.9086999999999996</v>
      </c>
      <c r="K290" s="64">
        <f>5.9088 * CHOOSE(CONTROL!$C$22, $C$13, 100%, $E$13)</f>
        <v>5.9088000000000003</v>
      </c>
    </row>
    <row r="291" spans="1:11" ht="15">
      <c r="A291" s="13">
        <v>50345</v>
      </c>
      <c r="B291" s="63">
        <f>4.8405 * CHOOSE(CONTROL!$C$22, $C$13, 100%, $E$13)</f>
        <v>4.8404999999999996</v>
      </c>
      <c r="C291" s="63">
        <f>4.8405 * CHOOSE(CONTROL!$C$22, $C$13, 100%, $E$13)</f>
        <v>4.8404999999999996</v>
      </c>
      <c r="D291" s="63">
        <f>4.8405 * CHOOSE(CONTROL!$C$22, $C$13, 100%, $E$13)</f>
        <v>4.8404999999999996</v>
      </c>
      <c r="E291" s="64">
        <f>5.9301 * CHOOSE(CONTROL!$C$22, $C$13, 100%, $E$13)</f>
        <v>5.9301000000000004</v>
      </c>
      <c r="F291" s="64">
        <f>5.9301 * CHOOSE(CONTROL!$C$22, $C$13, 100%, $E$13)</f>
        <v>5.9301000000000004</v>
      </c>
      <c r="G291" s="64">
        <f>5.9302 * CHOOSE(CONTROL!$C$22, $C$13, 100%, $E$13)</f>
        <v>5.9302000000000001</v>
      </c>
      <c r="H291" s="64">
        <f>9.8864* CHOOSE(CONTROL!$C$22, $C$13, 100%, $E$13)</f>
        <v>9.8864000000000001</v>
      </c>
      <c r="I291" s="64">
        <f>9.8865 * CHOOSE(CONTROL!$C$22, $C$13, 100%, $E$13)</f>
        <v>9.8864999999999998</v>
      </c>
      <c r="J291" s="64">
        <f>5.9301 * CHOOSE(CONTROL!$C$22, $C$13, 100%, $E$13)</f>
        <v>5.9301000000000004</v>
      </c>
      <c r="K291" s="64">
        <f>5.9302 * CHOOSE(CONTROL!$C$22, $C$13, 100%, $E$13)</f>
        <v>5.9302000000000001</v>
      </c>
    </row>
    <row r="292" spans="1:11" ht="15">
      <c r="A292" s="13">
        <v>50375</v>
      </c>
      <c r="B292" s="63">
        <f>4.8405 * CHOOSE(CONTROL!$C$22, $C$13, 100%, $E$13)</f>
        <v>4.8404999999999996</v>
      </c>
      <c r="C292" s="63">
        <f>4.8405 * CHOOSE(CONTROL!$C$22, $C$13, 100%, $E$13)</f>
        <v>4.8404999999999996</v>
      </c>
      <c r="D292" s="63">
        <f>4.8405 * CHOOSE(CONTROL!$C$22, $C$13, 100%, $E$13)</f>
        <v>4.8404999999999996</v>
      </c>
      <c r="E292" s="64">
        <f>5.8821 * CHOOSE(CONTROL!$C$22, $C$13, 100%, $E$13)</f>
        <v>5.8821000000000003</v>
      </c>
      <c r="F292" s="64">
        <f>5.8821 * CHOOSE(CONTROL!$C$22, $C$13, 100%, $E$13)</f>
        <v>5.8821000000000003</v>
      </c>
      <c r="G292" s="64">
        <f>5.8821 * CHOOSE(CONTROL!$C$22, $C$13, 100%, $E$13)</f>
        <v>5.8821000000000003</v>
      </c>
      <c r="H292" s="64">
        <f>9.907* CHOOSE(CONTROL!$C$22, $C$13, 100%, $E$13)</f>
        <v>9.907</v>
      </c>
      <c r="I292" s="64">
        <f>9.9071 * CHOOSE(CONTROL!$C$22, $C$13, 100%, $E$13)</f>
        <v>9.9070999999999998</v>
      </c>
      <c r="J292" s="64">
        <f>5.8821 * CHOOSE(CONTROL!$C$22, $C$13, 100%, $E$13)</f>
        <v>5.8821000000000003</v>
      </c>
      <c r="K292" s="64">
        <f>5.8821 * CHOOSE(CONTROL!$C$22, $C$13, 100%, $E$13)</f>
        <v>5.8821000000000003</v>
      </c>
    </row>
    <row r="293" spans="1:11" ht="15">
      <c r="A293" s="13">
        <v>50406</v>
      </c>
      <c r="B293" s="63">
        <f>4.8843 * CHOOSE(CONTROL!$C$22, $C$13, 100%, $E$13)</f>
        <v>4.8842999999999996</v>
      </c>
      <c r="C293" s="63">
        <f>4.8843 * CHOOSE(CONTROL!$C$22, $C$13, 100%, $E$13)</f>
        <v>4.8842999999999996</v>
      </c>
      <c r="D293" s="63">
        <f>4.8843 * CHOOSE(CONTROL!$C$22, $C$13, 100%, $E$13)</f>
        <v>4.8842999999999996</v>
      </c>
      <c r="E293" s="64">
        <f>5.9668 * CHOOSE(CONTROL!$C$22, $C$13, 100%, $E$13)</f>
        <v>5.9668000000000001</v>
      </c>
      <c r="F293" s="64">
        <f>5.9668 * CHOOSE(CONTROL!$C$22, $C$13, 100%, $E$13)</f>
        <v>5.9668000000000001</v>
      </c>
      <c r="G293" s="64">
        <f>5.9669 * CHOOSE(CONTROL!$C$22, $C$13, 100%, $E$13)</f>
        <v>5.9668999999999999</v>
      </c>
      <c r="H293" s="64">
        <f>9.9277* CHOOSE(CONTROL!$C$22, $C$13, 100%, $E$13)</f>
        <v>9.9276999999999997</v>
      </c>
      <c r="I293" s="64">
        <f>9.9277 * CHOOSE(CONTROL!$C$22, $C$13, 100%, $E$13)</f>
        <v>9.9276999999999997</v>
      </c>
      <c r="J293" s="64">
        <f>5.9668 * CHOOSE(CONTROL!$C$22, $C$13, 100%, $E$13)</f>
        <v>5.9668000000000001</v>
      </c>
      <c r="K293" s="64">
        <f>5.9669 * CHOOSE(CONTROL!$C$22, $C$13, 100%, $E$13)</f>
        <v>5.9668999999999999</v>
      </c>
    </row>
    <row r="294" spans="1:11" ht="15">
      <c r="A294" s="13">
        <v>50437</v>
      </c>
      <c r="B294" s="63">
        <f>4.8813 * CHOOSE(CONTROL!$C$22, $C$13, 100%, $E$13)</f>
        <v>4.8813000000000004</v>
      </c>
      <c r="C294" s="63">
        <f>4.8813 * CHOOSE(CONTROL!$C$22, $C$13, 100%, $E$13)</f>
        <v>4.8813000000000004</v>
      </c>
      <c r="D294" s="63">
        <f>4.8813 * CHOOSE(CONTROL!$C$22, $C$13, 100%, $E$13)</f>
        <v>4.8813000000000004</v>
      </c>
      <c r="E294" s="64">
        <f>5.8715 * CHOOSE(CONTROL!$C$22, $C$13, 100%, $E$13)</f>
        <v>5.8715000000000002</v>
      </c>
      <c r="F294" s="64">
        <f>5.8715 * CHOOSE(CONTROL!$C$22, $C$13, 100%, $E$13)</f>
        <v>5.8715000000000002</v>
      </c>
      <c r="G294" s="64">
        <f>5.8716 * CHOOSE(CONTROL!$C$22, $C$13, 100%, $E$13)</f>
        <v>5.8715999999999999</v>
      </c>
      <c r="H294" s="64">
        <f>9.9483* CHOOSE(CONTROL!$C$22, $C$13, 100%, $E$13)</f>
        <v>9.9482999999999997</v>
      </c>
      <c r="I294" s="64">
        <f>9.9484 * CHOOSE(CONTROL!$C$22, $C$13, 100%, $E$13)</f>
        <v>9.9483999999999995</v>
      </c>
      <c r="J294" s="64">
        <f>5.8715 * CHOOSE(CONTROL!$C$22, $C$13, 100%, $E$13)</f>
        <v>5.8715000000000002</v>
      </c>
      <c r="K294" s="64">
        <f>5.8716 * CHOOSE(CONTROL!$C$22, $C$13, 100%, $E$13)</f>
        <v>5.8715999999999999</v>
      </c>
    </row>
    <row r="295" spans="1:11" ht="15">
      <c r="A295" s="13">
        <v>50465</v>
      </c>
      <c r="B295" s="63">
        <f>4.8783 * CHOOSE(CONTROL!$C$22, $C$13, 100%, $E$13)</f>
        <v>4.8783000000000003</v>
      </c>
      <c r="C295" s="63">
        <f>4.8783 * CHOOSE(CONTROL!$C$22, $C$13, 100%, $E$13)</f>
        <v>4.8783000000000003</v>
      </c>
      <c r="D295" s="63">
        <f>4.8783 * CHOOSE(CONTROL!$C$22, $C$13, 100%, $E$13)</f>
        <v>4.8783000000000003</v>
      </c>
      <c r="E295" s="64">
        <f>5.9428 * CHOOSE(CONTROL!$C$22, $C$13, 100%, $E$13)</f>
        <v>5.9428000000000001</v>
      </c>
      <c r="F295" s="64">
        <f>5.9428 * CHOOSE(CONTROL!$C$22, $C$13, 100%, $E$13)</f>
        <v>5.9428000000000001</v>
      </c>
      <c r="G295" s="64">
        <f>5.9429 * CHOOSE(CONTROL!$C$22, $C$13, 100%, $E$13)</f>
        <v>5.9428999999999998</v>
      </c>
      <c r="H295" s="64">
        <f>9.9691* CHOOSE(CONTROL!$C$22, $C$13, 100%, $E$13)</f>
        <v>9.9690999999999992</v>
      </c>
      <c r="I295" s="64">
        <f>9.9691 * CHOOSE(CONTROL!$C$22, $C$13, 100%, $E$13)</f>
        <v>9.9690999999999992</v>
      </c>
      <c r="J295" s="64">
        <f>5.9428 * CHOOSE(CONTROL!$C$22, $C$13, 100%, $E$13)</f>
        <v>5.9428000000000001</v>
      </c>
      <c r="K295" s="64">
        <f>5.9429 * CHOOSE(CONTROL!$C$22, $C$13, 100%, $E$13)</f>
        <v>5.9428999999999998</v>
      </c>
    </row>
    <row r="296" spans="1:11" ht="15">
      <c r="A296" s="13">
        <v>50496</v>
      </c>
      <c r="B296" s="63">
        <f>4.8767 * CHOOSE(CONTROL!$C$22, $C$13, 100%, $E$13)</f>
        <v>4.8766999999999996</v>
      </c>
      <c r="C296" s="63">
        <f>4.8767 * CHOOSE(CONTROL!$C$22, $C$13, 100%, $E$13)</f>
        <v>4.8766999999999996</v>
      </c>
      <c r="D296" s="63">
        <f>4.8767 * CHOOSE(CONTROL!$C$22, $C$13, 100%, $E$13)</f>
        <v>4.8766999999999996</v>
      </c>
      <c r="E296" s="64">
        <f>6.0175 * CHOOSE(CONTROL!$C$22, $C$13, 100%, $E$13)</f>
        <v>6.0175000000000001</v>
      </c>
      <c r="F296" s="64">
        <f>6.0175 * CHOOSE(CONTROL!$C$22, $C$13, 100%, $E$13)</f>
        <v>6.0175000000000001</v>
      </c>
      <c r="G296" s="64">
        <f>6.0175 * CHOOSE(CONTROL!$C$22, $C$13, 100%, $E$13)</f>
        <v>6.0175000000000001</v>
      </c>
      <c r="H296" s="64">
        <f>9.9898* CHOOSE(CONTROL!$C$22, $C$13, 100%, $E$13)</f>
        <v>9.9898000000000007</v>
      </c>
      <c r="I296" s="64">
        <f>9.9899 * CHOOSE(CONTROL!$C$22, $C$13, 100%, $E$13)</f>
        <v>9.9899000000000004</v>
      </c>
      <c r="J296" s="64">
        <f>6.0175 * CHOOSE(CONTROL!$C$22, $C$13, 100%, $E$13)</f>
        <v>6.0175000000000001</v>
      </c>
      <c r="K296" s="64">
        <f>6.0175 * CHOOSE(CONTROL!$C$22, $C$13, 100%, $E$13)</f>
        <v>6.0175000000000001</v>
      </c>
    </row>
    <row r="297" spans="1:11" ht="15">
      <c r="A297" s="13">
        <v>50526</v>
      </c>
      <c r="B297" s="63">
        <f>4.8767 * CHOOSE(CONTROL!$C$22, $C$13, 100%, $E$13)</f>
        <v>4.8766999999999996</v>
      </c>
      <c r="C297" s="63">
        <f>4.8767 * CHOOSE(CONTROL!$C$22, $C$13, 100%, $E$13)</f>
        <v>4.8766999999999996</v>
      </c>
      <c r="D297" s="63">
        <f>4.8848 * CHOOSE(CONTROL!$C$22, $C$13, 100%, $E$13)</f>
        <v>4.8848000000000003</v>
      </c>
      <c r="E297" s="64">
        <f>6.047 * CHOOSE(CONTROL!$C$22, $C$13, 100%, $E$13)</f>
        <v>6.0469999999999997</v>
      </c>
      <c r="F297" s="64">
        <f>6.047 * CHOOSE(CONTROL!$C$22, $C$13, 100%, $E$13)</f>
        <v>6.0469999999999997</v>
      </c>
      <c r="G297" s="64">
        <f>6.0569 * CHOOSE(CONTROL!$C$22, $C$13, 100%, $E$13)</f>
        <v>6.0568999999999997</v>
      </c>
      <c r="H297" s="64">
        <f>10.0107* CHOOSE(CONTROL!$C$22, $C$13, 100%, $E$13)</f>
        <v>10.0107</v>
      </c>
      <c r="I297" s="64">
        <f>10.0205 * CHOOSE(CONTROL!$C$22, $C$13, 100%, $E$13)</f>
        <v>10.0205</v>
      </c>
      <c r="J297" s="64">
        <f>6.047 * CHOOSE(CONTROL!$C$22, $C$13, 100%, $E$13)</f>
        <v>6.0469999999999997</v>
      </c>
      <c r="K297" s="64">
        <f>6.0569 * CHOOSE(CONTROL!$C$22, $C$13, 100%, $E$13)</f>
        <v>6.0568999999999997</v>
      </c>
    </row>
    <row r="298" spans="1:11" ht="15">
      <c r="A298" s="13">
        <v>50557</v>
      </c>
      <c r="B298" s="63">
        <f>4.8827 * CHOOSE(CONTROL!$C$22, $C$13, 100%, $E$13)</f>
        <v>4.8826999999999998</v>
      </c>
      <c r="C298" s="63">
        <f>4.8827 * CHOOSE(CONTROL!$C$22, $C$13, 100%, $E$13)</f>
        <v>4.8826999999999998</v>
      </c>
      <c r="D298" s="63">
        <f>4.8909 * CHOOSE(CONTROL!$C$22, $C$13, 100%, $E$13)</f>
        <v>4.8909000000000002</v>
      </c>
      <c r="E298" s="64">
        <f>6.0217 * CHOOSE(CONTROL!$C$22, $C$13, 100%, $E$13)</f>
        <v>6.0217000000000001</v>
      </c>
      <c r="F298" s="64">
        <f>6.0217 * CHOOSE(CONTROL!$C$22, $C$13, 100%, $E$13)</f>
        <v>6.0217000000000001</v>
      </c>
      <c r="G298" s="64">
        <f>6.0315 * CHOOSE(CONTROL!$C$22, $C$13, 100%, $E$13)</f>
        <v>6.0315000000000003</v>
      </c>
      <c r="H298" s="64">
        <f>10.0315* CHOOSE(CONTROL!$C$22, $C$13, 100%, $E$13)</f>
        <v>10.031499999999999</v>
      </c>
      <c r="I298" s="64">
        <f>10.0413 * CHOOSE(CONTROL!$C$22, $C$13, 100%, $E$13)</f>
        <v>10.0413</v>
      </c>
      <c r="J298" s="64">
        <f>6.0217 * CHOOSE(CONTROL!$C$22, $C$13, 100%, $E$13)</f>
        <v>6.0217000000000001</v>
      </c>
      <c r="K298" s="64">
        <f>6.0315 * CHOOSE(CONTROL!$C$22, $C$13, 100%, $E$13)</f>
        <v>6.0315000000000003</v>
      </c>
    </row>
    <row r="299" spans="1:11" ht="15">
      <c r="A299" s="13">
        <v>50587</v>
      </c>
      <c r="B299" s="63">
        <f>4.9646 * CHOOSE(CONTROL!$C$22, $C$13, 100%, $E$13)</f>
        <v>4.9645999999999999</v>
      </c>
      <c r="C299" s="63">
        <f>4.9646 * CHOOSE(CONTROL!$C$22, $C$13, 100%, $E$13)</f>
        <v>4.9645999999999999</v>
      </c>
      <c r="D299" s="63">
        <f>4.9728 * CHOOSE(CONTROL!$C$22, $C$13, 100%, $E$13)</f>
        <v>4.9728000000000003</v>
      </c>
      <c r="E299" s="64">
        <f>6.1322 * CHOOSE(CONTROL!$C$22, $C$13, 100%, $E$13)</f>
        <v>6.1322000000000001</v>
      </c>
      <c r="F299" s="64">
        <f>6.1322 * CHOOSE(CONTROL!$C$22, $C$13, 100%, $E$13)</f>
        <v>6.1322000000000001</v>
      </c>
      <c r="G299" s="64">
        <f>6.142 * CHOOSE(CONTROL!$C$22, $C$13, 100%, $E$13)</f>
        <v>6.1420000000000003</v>
      </c>
      <c r="H299" s="64">
        <f>10.0524* CHOOSE(CONTROL!$C$22, $C$13, 100%, $E$13)</f>
        <v>10.0524</v>
      </c>
      <c r="I299" s="64">
        <f>10.0622 * CHOOSE(CONTROL!$C$22, $C$13, 100%, $E$13)</f>
        <v>10.062200000000001</v>
      </c>
      <c r="J299" s="64">
        <f>6.1322 * CHOOSE(CONTROL!$C$22, $C$13, 100%, $E$13)</f>
        <v>6.1322000000000001</v>
      </c>
      <c r="K299" s="64">
        <f>6.142 * CHOOSE(CONTROL!$C$22, $C$13, 100%, $E$13)</f>
        <v>6.1420000000000003</v>
      </c>
    </row>
    <row r="300" spans="1:11" ht="15">
      <c r="A300" s="13">
        <v>50618</v>
      </c>
      <c r="B300" s="63">
        <f>4.9713 * CHOOSE(CONTROL!$C$22, $C$13, 100%, $E$13)</f>
        <v>4.9713000000000003</v>
      </c>
      <c r="C300" s="63">
        <f>4.9713 * CHOOSE(CONTROL!$C$22, $C$13, 100%, $E$13)</f>
        <v>4.9713000000000003</v>
      </c>
      <c r="D300" s="63">
        <f>4.9794 * CHOOSE(CONTROL!$C$22, $C$13, 100%, $E$13)</f>
        <v>4.9794</v>
      </c>
      <c r="E300" s="64">
        <f>6.0481 * CHOOSE(CONTROL!$C$22, $C$13, 100%, $E$13)</f>
        <v>6.0480999999999998</v>
      </c>
      <c r="F300" s="64">
        <f>6.0481 * CHOOSE(CONTROL!$C$22, $C$13, 100%, $E$13)</f>
        <v>6.0480999999999998</v>
      </c>
      <c r="G300" s="64">
        <f>6.0579 * CHOOSE(CONTROL!$C$22, $C$13, 100%, $E$13)</f>
        <v>6.0579000000000001</v>
      </c>
      <c r="H300" s="64">
        <f>10.0733* CHOOSE(CONTROL!$C$22, $C$13, 100%, $E$13)</f>
        <v>10.0733</v>
      </c>
      <c r="I300" s="64">
        <f>10.0832 * CHOOSE(CONTROL!$C$22, $C$13, 100%, $E$13)</f>
        <v>10.0832</v>
      </c>
      <c r="J300" s="64">
        <f>6.0481 * CHOOSE(CONTROL!$C$22, $C$13, 100%, $E$13)</f>
        <v>6.0480999999999998</v>
      </c>
      <c r="K300" s="64">
        <f>6.0579 * CHOOSE(CONTROL!$C$22, $C$13, 100%, $E$13)</f>
        <v>6.0579000000000001</v>
      </c>
    </row>
    <row r="301" spans="1:11" ht="15">
      <c r="A301" s="13">
        <v>50649</v>
      </c>
      <c r="B301" s="63">
        <f>4.9683 * CHOOSE(CONTROL!$C$22, $C$13, 100%, $E$13)</f>
        <v>4.9683000000000002</v>
      </c>
      <c r="C301" s="63">
        <f>4.9683 * CHOOSE(CONTROL!$C$22, $C$13, 100%, $E$13)</f>
        <v>4.9683000000000002</v>
      </c>
      <c r="D301" s="63">
        <f>4.9764 * CHOOSE(CONTROL!$C$22, $C$13, 100%, $E$13)</f>
        <v>4.9763999999999999</v>
      </c>
      <c r="E301" s="64">
        <f>6.0361 * CHOOSE(CONTROL!$C$22, $C$13, 100%, $E$13)</f>
        <v>6.0361000000000002</v>
      </c>
      <c r="F301" s="64">
        <f>6.0361 * CHOOSE(CONTROL!$C$22, $C$13, 100%, $E$13)</f>
        <v>6.0361000000000002</v>
      </c>
      <c r="G301" s="64">
        <f>6.046 * CHOOSE(CONTROL!$C$22, $C$13, 100%, $E$13)</f>
        <v>6.0460000000000003</v>
      </c>
      <c r="H301" s="64">
        <f>10.0943* CHOOSE(CONTROL!$C$22, $C$13, 100%, $E$13)</f>
        <v>10.0943</v>
      </c>
      <c r="I301" s="64">
        <f>10.1042 * CHOOSE(CONTROL!$C$22, $C$13, 100%, $E$13)</f>
        <v>10.104200000000001</v>
      </c>
      <c r="J301" s="64">
        <f>6.0361 * CHOOSE(CONTROL!$C$22, $C$13, 100%, $E$13)</f>
        <v>6.0361000000000002</v>
      </c>
      <c r="K301" s="64">
        <f>6.046 * CHOOSE(CONTROL!$C$22, $C$13, 100%, $E$13)</f>
        <v>6.0460000000000003</v>
      </c>
    </row>
    <row r="302" spans="1:11" ht="15">
      <c r="A302" s="13">
        <v>50679</v>
      </c>
      <c r="B302" s="63">
        <f>4.9666 * CHOOSE(CONTROL!$C$22, $C$13, 100%, $E$13)</f>
        <v>4.9665999999999997</v>
      </c>
      <c r="C302" s="63">
        <f>4.9666 * CHOOSE(CONTROL!$C$22, $C$13, 100%, $E$13)</f>
        <v>4.9665999999999997</v>
      </c>
      <c r="D302" s="63">
        <f>4.9666 * CHOOSE(CONTROL!$C$22, $C$13, 100%, $E$13)</f>
        <v>4.9665999999999997</v>
      </c>
      <c r="E302" s="64">
        <f>6.0622 * CHOOSE(CONTROL!$C$22, $C$13, 100%, $E$13)</f>
        <v>6.0621999999999998</v>
      </c>
      <c r="F302" s="64">
        <f>6.0622 * CHOOSE(CONTROL!$C$22, $C$13, 100%, $E$13)</f>
        <v>6.0621999999999998</v>
      </c>
      <c r="G302" s="64">
        <f>6.0622 * CHOOSE(CONTROL!$C$22, $C$13, 100%, $E$13)</f>
        <v>6.0621999999999998</v>
      </c>
      <c r="H302" s="64">
        <f>10.1154* CHOOSE(CONTROL!$C$22, $C$13, 100%, $E$13)</f>
        <v>10.115399999999999</v>
      </c>
      <c r="I302" s="64">
        <f>10.1154 * CHOOSE(CONTROL!$C$22, $C$13, 100%, $E$13)</f>
        <v>10.115399999999999</v>
      </c>
      <c r="J302" s="64">
        <f>6.0622 * CHOOSE(CONTROL!$C$22, $C$13, 100%, $E$13)</f>
        <v>6.0621999999999998</v>
      </c>
      <c r="K302" s="64">
        <f>6.0622 * CHOOSE(CONTROL!$C$22, $C$13, 100%, $E$13)</f>
        <v>6.0621999999999998</v>
      </c>
    </row>
    <row r="303" spans="1:11" ht="15">
      <c r="A303" s="13">
        <v>50710</v>
      </c>
      <c r="B303" s="63">
        <f>4.9696 * CHOOSE(CONTROL!$C$22, $C$13, 100%, $E$13)</f>
        <v>4.9695999999999998</v>
      </c>
      <c r="C303" s="63">
        <f>4.9696 * CHOOSE(CONTROL!$C$22, $C$13, 100%, $E$13)</f>
        <v>4.9695999999999998</v>
      </c>
      <c r="D303" s="63">
        <f>4.9696 * CHOOSE(CONTROL!$C$22, $C$13, 100%, $E$13)</f>
        <v>4.9695999999999998</v>
      </c>
      <c r="E303" s="64">
        <f>6.084 * CHOOSE(CONTROL!$C$22, $C$13, 100%, $E$13)</f>
        <v>6.0839999999999996</v>
      </c>
      <c r="F303" s="64">
        <f>6.084 * CHOOSE(CONTROL!$C$22, $C$13, 100%, $E$13)</f>
        <v>6.0839999999999996</v>
      </c>
      <c r="G303" s="64">
        <f>6.0841 * CHOOSE(CONTROL!$C$22, $C$13, 100%, $E$13)</f>
        <v>6.0841000000000003</v>
      </c>
      <c r="H303" s="64">
        <f>10.1364* CHOOSE(CONTROL!$C$22, $C$13, 100%, $E$13)</f>
        <v>10.1364</v>
      </c>
      <c r="I303" s="64">
        <f>10.1365 * CHOOSE(CONTROL!$C$22, $C$13, 100%, $E$13)</f>
        <v>10.1365</v>
      </c>
      <c r="J303" s="64">
        <f>6.084 * CHOOSE(CONTROL!$C$22, $C$13, 100%, $E$13)</f>
        <v>6.0839999999999996</v>
      </c>
      <c r="K303" s="64">
        <f>6.0841 * CHOOSE(CONTROL!$C$22, $C$13, 100%, $E$13)</f>
        <v>6.0841000000000003</v>
      </c>
    </row>
    <row r="304" spans="1:11" ht="15">
      <c r="A304" s="13">
        <v>50740</v>
      </c>
      <c r="B304" s="63">
        <f>4.9696 * CHOOSE(CONTROL!$C$22, $C$13, 100%, $E$13)</f>
        <v>4.9695999999999998</v>
      </c>
      <c r="C304" s="63">
        <f>4.9696 * CHOOSE(CONTROL!$C$22, $C$13, 100%, $E$13)</f>
        <v>4.9695999999999998</v>
      </c>
      <c r="D304" s="63">
        <f>4.9696 * CHOOSE(CONTROL!$C$22, $C$13, 100%, $E$13)</f>
        <v>4.9695999999999998</v>
      </c>
      <c r="E304" s="64">
        <f>6.061 * CHOOSE(CONTROL!$C$22, $C$13, 100%, $E$13)</f>
        <v>6.0609999999999999</v>
      </c>
      <c r="F304" s="64">
        <f>6.061 * CHOOSE(CONTROL!$C$22, $C$13, 100%, $E$13)</f>
        <v>6.0609999999999999</v>
      </c>
      <c r="G304" s="64">
        <f>6.0611 * CHOOSE(CONTROL!$C$22, $C$13, 100%, $E$13)</f>
        <v>6.0610999999999997</v>
      </c>
      <c r="H304" s="64">
        <f>10.1576* CHOOSE(CONTROL!$C$22, $C$13, 100%, $E$13)</f>
        <v>10.1576</v>
      </c>
      <c r="I304" s="64">
        <f>10.1576 * CHOOSE(CONTROL!$C$22, $C$13, 100%, $E$13)</f>
        <v>10.1576</v>
      </c>
      <c r="J304" s="64">
        <f>6.061 * CHOOSE(CONTROL!$C$22, $C$13, 100%, $E$13)</f>
        <v>6.0609999999999999</v>
      </c>
      <c r="K304" s="64">
        <f>6.0611 * CHOOSE(CONTROL!$C$22, $C$13, 100%, $E$13)</f>
        <v>6.0610999999999997</v>
      </c>
    </row>
    <row r="305" spans="1:11" ht="15">
      <c r="A305" s="13">
        <v>50771</v>
      </c>
      <c r="B305" s="63">
        <f>5.014 * CHOOSE(CONTROL!$C$22, $C$13, 100%, $E$13)</f>
        <v>5.0140000000000002</v>
      </c>
      <c r="C305" s="63">
        <f>5.014 * CHOOSE(CONTROL!$C$22, $C$13, 100%, $E$13)</f>
        <v>5.0140000000000002</v>
      </c>
      <c r="D305" s="63">
        <f>5.014 * CHOOSE(CONTROL!$C$22, $C$13, 100%, $E$13)</f>
        <v>5.0140000000000002</v>
      </c>
      <c r="E305" s="64">
        <f>6.1195 * CHOOSE(CONTROL!$C$22, $C$13, 100%, $E$13)</f>
        <v>6.1195000000000004</v>
      </c>
      <c r="F305" s="64">
        <f>6.1195 * CHOOSE(CONTROL!$C$22, $C$13, 100%, $E$13)</f>
        <v>6.1195000000000004</v>
      </c>
      <c r="G305" s="64">
        <f>6.1195 * CHOOSE(CONTROL!$C$22, $C$13, 100%, $E$13)</f>
        <v>6.1195000000000004</v>
      </c>
      <c r="H305" s="64">
        <f>10.1787* CHOOSE(CONTROL!$C$22, $C$13, 100%, $E$13)</f>
        <v>10.178699999999999</v>
      </c>
      <c r="I305" s="64">
        <f>10.1788 * CHOOSE(CONTROL!$C$22, $C$13, 100%, $E$13)</f>
        <v>10.178800000000001</v>
      </c>
      <c r="J305" s="64">
        <f>6.1195 * CHOOSE(CONTROL!$C$22, $C$13, 100%, $E$13)</f>
        <v>6.1195000000000004</v>
      </c>
      <c r="K305" s="64">
        <f>6.1195 * CHOOSE(CONTROL!$C$22, $C$13, 100%, $E$13)</f>
        <v>6.1195000000000004</v>
      </c>
    </row>
    <row r="306" spans="1:11" ht="15">
      <c r="A306" s="13">
        <v>50802</v>
      </c>
      <c r="B306" s="63">
        <f>5.0109 * CHOOSE(CONTROL!$C$22, $C$13, 100%, $E$13)</f>
        <v>5.0109000000000004</v>
      </c>
      <c r="C306" s="63">
        <f>5.0109 * CHOOSE(CONTROL!$C$22, $C$13, 100%, $E$13)</f>
        <v>5.0109000000000004</v>
      </c>
      <c r="D306" s="63">
        <f>5.0109 * CHOOSE(CONTROL!$C$22, $C$13, 100%, $E$13)</f>
        <v>5.0109000000000004</v>
      </c>
      <c r="E306" s="64">
        <f>6.0216 * CHOOSE(CONTROL!$C$22, $C$13, 100%, $E$13)</f>
        <v>6.0216000000000003</v>
      </c>
      <c r="F306" s="64">
        <f>6.0216 * CHOOSE(CONTROL!$C$22, $C$13, 100%, $E$13)</f>
        <v>6.0216000000000003</v>
      </c>
      <c r="G306" s="64">
        <f>6.0217 * CHOOSE(CONTROL!$C$22, $C$13, 100%, $E$13)</f>
        <v>6.0217000000000001</v>
      </c>
      <c r="H306" s="64">
        <f>10.1999* CHOOSE(CONTROL!$C$22, $C$13, 100%, $E$13)</f>
        <v>10.1999</v>
      </c>
      <c r="I306" s="64">
        <f>10.2 * CHOOSE(CONTROL!$C$22, $C$13, 100%, $E$13)</f>
        <v>10.199999999999999</v>
      </c>
      <c r="J306" s="64">
        <f>6.0216 * CHOOSE(CONTROL!$C$22, $C$13, 100%, $E$13)</f>
        <v>6.0216000000000003</v>
      </c>
      <c r="K306" s="64">
        <f>6.0217 * CHOOSE(CONTROL!$C$22, $C$13, 100%, $E$13)</f>
        <v>6.0217000000000001</v>
      </c>
    </row>
    <row r="307" spans="1:11" ht="15">
      <c r="A307" s="13">
        <v>50830</v>
      </c>
      <c r="B307" s="63">
        <f>5.0079 * CHOOSE(CONTROL!$C$22, $C$13, 100%, $E$13)</f>
        <v>5.0079000000000002</v>
      </c>
      <c r="C307" s="63">
        <f>5.0079 * CHOOSE(CONTROL!$C$22, $C$13, 100%, $E$13)</f>
        <v>5.0079000000000002</v>
      </c>
      <c r="D307" s="63">
        <f>5.0079 * CHOOSE(CONTROL!$C$22, $C$13, 100%, $E$13)</f>
        <v>5.0079000000000002</v>
      </c>
      <c r="E307" s="64">
        <f>6.095 * CHOOSE(CONTROL!$C$22, $C$13, 100%, $E$13)</f>
        <v>6.0949999999999998</v>
      </c>
      <c r="F307" s="64">
        <f>6.095 * CHOOSE(CONTROL!$C$22, $C$13, 100%, $E$13)</f>
        <v>6.0949999999999998</v>
      </c>
      <c r="G307" s="64">
        <f>6.095 * CHOOSE(CONTROL!$C$22, $C$13, 100%, $E$13)</f>
        <v>6.0949999999999998</v>
      </c>
      <c r="H307" s="64">
        <f>10.2212* CHOOSE(CONTROL!$C$22, $C$13, 100%, $E$13)</f>
        <v>10.2212</v>
      </c>
      <c r="I307" s="64">
        <f>10.2213 * CHOOSE(CONTROL!$C$22, $C$13, 100%, $E$13)</f>
        <v>10.221299999999999</v>
      </c>
      <c r="J307" s="64">
        <f>6.095 * CHOOSE(CONTROL!$C$22, $C$13, 100%, $E$13)</f>
        <v>6.0949999999999998</v>
      </c>
      <c r="K307" s="64">
        <f>6.095 * CHOOSE(CONTROL!$C$22, $C$13, 100%, $E$13)</f>
        <v>6.0949999999999998</v>
      </c>
    </row>
    <row r="308" spans="1:11" ht="15">
      <c r="A308" s="13">
        <v>50861</v>
      </c>
      <c r="B308" s="63">
        <f>5.0064 * CHOOSE(CONTROL!$C$22, $C$13, 100%, $E$13)</f>
        <v>5.0064000000000002</v>
      </c>
      <c r="C308" s="63">
        <f>5.0064 * CHOOSE(CONTROL!$C$22, $C$13, 100%, $E$13)</f>
        <v>5.0064000000000002</v>
      </c>
      <c r="D308" s="63">
        <f>5.0064 * CHOOSE(CONTROL!$C$22, $C$13, 100%, $E$13)</f>
        <v>5.0064000000000002</v>
      </c>
      <c r="E308" s="64">
        <f>6.1718 * CHOOSE(CONTROL!$C$22, $C$13, 100%, $E$13)</f>
        <v>6.1718000000000002</v>
      </c>
      <c r="F308" s="64">
        <f>6.1718 * CHOOSE(CONTROL!$C$22, $C$13, 100%, $E$13)</f>
        <v>6.1718000000000002</v>
      </c>
      <c r="G308" s="64">
        <f>6.1718 * CHOOSE(CONTROL!$C$22, $C$13, 100%, $E$13)</f>
        <v>6.1718000000000002</v>
      </c>
      <c r="H308" s="64">
        <f>10.2425* CHOOSE(CONTROL!$C$22, $C$13, 100%, $E$13)</f>
        <v>10.2425</v>
      </c>
      <c r="I308" s="64">
        <f>10.2425 * CHOOSE(CONTROL!$C$22, $C$13, 100%, $E$13)</f>
        <v>10.2425</v>
      </c>
      <c r="J308" s="64">
        <f>6.1718 * CHOOSE(CONTROL!$C$22, $C$13, 100%, $E$13)</f>
        <v>6.1718000000000002</v>
      </c>
      <c r="K308" s="64">
        <f>6.1718 * CHOOSE(CONTROL!$C$22, $C$13, 100%, $E$13)</f>
        <v>6.1718000000000002</v>
      </c>
    </row>
    <row r="309" spans="1:11" ht="15">
      <c r="A309" s="13">
        <v>50891</v>
      </c>
      <c r="B309" s="63">
        <f>5.0064 * CHOOSE(CONTROL!$C$22, $C$13, 100%, $E$13)</f>
        <v>5.0064000000000002</v>
      </c>
      <c r="C309" s="63">
        <f>5.0064 * CHOOSE(CONTROL!$C$22, $C$13, 100%, $E$13)</f>
        <v>5.0064000000000002</v>
      </c>
      <c r="D309" s="63">
        <f>5.0145 * CHOOSE(CONTROL!$C$22, $C$13, 100%, $E$13)</f>
        <v>5.0145</v>
      </c>
      <c r="E309" s="64">
        <f>6.2021 * CHOOSE(CONTROL!$C$22, $C$13, 100%, $E$13)</f>
        <v>6.2020999999999997</v>
      </c>
      <c r="F309" s="64">
        <f>6.2021 * CHOOSE(CONTROL!$C$22, $C$13, 100%, $E$13)</f>
        <v>6.2020999999999997</v>
      </c>
      <c r="G309" s="64">
        <f>6.212 * CHOOSE(CONTROL!$C$22, $C$13, 100%, $E$13)</f>
        <v>6.2119999999999997</v>
      </c>
      <c r="H309" s="64">
        <f>10.2638* CHOOSE(CONTROL!$C$22, $C$13, 100%, $E$13)</f>
        <v>10.2638</v>
      </c>
      <c r="I309" s="64">
        <f>10.2736 * CHOOSE(CONTROL!$C$22, $C$13, 100%, $E$13)</f>
        <v>10.2736</v>
      </c>
      <c r="J309" s="64">
        <f>6.2021 * CHOOSE(CONTROL!$C$22, $C$13, 100%, $E$13)</f>
        <v>6.2020999999999997</v>
      </c>
      <c r="K309" s="64">
        <f>6.212 * CHOOSE(CONTROL!$C$22, $C$13, 100%, $E$13)</f>
        <v>6.2119999999999997</v>
      </c>
    </row>
    <row r="310" spans="1:11" ht="15">
      <c r="A310" s="13">
        <v>50922</v>
      </c>
      <c r="B310" s="63">
        <f>5.0125 * CHOOSE(CONTROL!$C$22, $C$13, 100%, $E$13)</f>
        <v>5.0125000000000002</v>
      </c>
      <c r="C310" s="63">
        <f>5.0125 * CHOOSE(CONTROL!$C$22, $C$13, 100%, $E$13)</f>
        <v>5.0125000000000002</v>
      </c>
      <c r="D310" s="63">
        <f>5.0206 * CHOOSE(CONTROL!$C$22, $C$13, 100%, $E$13)</f>
        <v>5.0206</v>
      </c>
      <c r="E310" s="64">
        <f>6.176 * CHOOSE(CONTROL!$C$22, $C$13, 100%, $E$13)</f>
        <v>6.1760000000000002</v>
      </c>
      <c r="F310" s="64">
        <f>6.176 * CHOOSE(CONTROL!$C$22, $C$13, 100%, $E$13)</f>
        <v>6.1760000000000002</v>
      </c>
      <c r="G310" s="64">
        <f>6.1858 * CHOOSE(CONTROL!$C$22, $C$13, 100%, $E$13)</f>
        <v>6.1858000000000004</v>
      </c>
      <c r="H310" s="64">
        <f>10.2852* CHOOSE(CONTROL!$C$22, $C$13, 100%, $E$13)</f>
        <v>10.2852</v>
      </c>
      <c r="I310" s="64">
        <f>10.295 * CHOOSE(CONTROL!$C$22, $C$13, 100%, $E$13)</f>
        <v>10.295</v>
      </c>
      <c r="J310" s="64">
        <f>6.176 * CHOOSE(CONTROL!$C$22, $C$13, 100%, $E$13)</f>
        <v>6.1760000000000002</v>
      </c>
      <c r="K310" s="64">
        <f>6.1858 * CHOOSE(CONTROL!$C$22, $C$13, 100%, $E$13)</f>
        <v>6.1858000000000004</v>
      </c>
    </row>
    <row r="311" spans="1:11" ht="15">
      <c r="A311" s="13">
        <v>50952</v>
      </c>
      <c r="B311" s="63">
        <f>5.0952 * CHOOSE(CONTROL!$C$22, $C$13, 100%, $E$13)</f>
        <v>5.0952000000000002</v>
      </c>
      <c r="C311" s="63">
        <f>5.0952 * CHOOSE(CONTROL!$C$22, $C$13, 100%, $E$13)</f>
        <v>5.0952000000000002</v>
      </c>
      <c r="D311" s="63">
        <f>5.1033 * CHOOSE(CONTROL!$C$22, $C$13, 100%, $E$13)</f>
        <v>5.1032999999999999</v>
      </c>
      <c r="E311" s="64">
        <f>6.2809 * CHOOSE(CONTROL!$C$22, $C$13, 100%, $E$13)</f>
        <v>6.2808999999999999</v>
      </c>
      <c r="F311" s="64">
        <f>6.2809 * CHOOSE(CONTROL!$C$22, $C$13, 100%, $E$13)</f>
        <v>6.2808999999999999</v>
      </c>
      <c r="G311" s="64">
        <f>6.2908 * CHOOSE(CONTROL!$C$22, $C$13, 100%, $E$13)</f>
        <v>6.2907999999999999</v>
      </c>
      <c r="H311" s="64">
        <f>10.3066* CHOOSE(CONTROL!$C$22, $C$13, 100%, $E$13)</f>
        <v>10.3066</v>
      </c>
      <c r="I311" s="64">
        <f>10.3164 * CHOOSE(CONTROL!$C$22, $C$13, 100%, $E$13)</f>
        <v>10.3164</v>
      </c>
      <c r="J311" s="64">
        <f>6.2809 * CHOOSE(CONTROL!$C$22, $C$13, 100%, $E$13)</f>
        <v>6.2808999999999999</v>
      </c>
      <c r="K311" s="64">
        <f>6.2908 * CHOOSE(CONTROL!$C$22, $C$13, 100%, $E$13)</f>
        <v>6.2907999999999999</v>
      </c>
    </row>
    <row r="312" spans="1:11" ht="15">
      <c r="A312" s="13">
        <v>50983</v>
      </c>
      <c r="B312" s="63">
        <f>5.1019 * CHOOSE(CONTROL!$C$22, $C$13, 100%, $E$13)</f>
        <v>5.1018999999999997</v>
      </c>
      <c r="C312" s="63">
        <f>5.1019 * CHOOSE(CONTROL!$C$22, $C$13, 100%, $E$13)</f>
        <v>5.1018999999999997</v>
      </c>
      <c r="D312" s="63">
        <f>5.11 * CHOOSE(CONTROL!$C$22, $C$13, 100%, $E$13)</f>
        <v>5.1100000000000003</v>
      </c>
      <c r="E312" s="64">
        <f>6.1944 * CHOOSE(CONTROL!$C$22, $C$13, 100%, $E$13)</f>
        <v>6.1943999999999999</v>
      </c>
      <c r="F312" s="64">
        <f>6.1944 * CHOOSE(CONTROL!$C$22, $C$13, 100%, $E$13)</f>
        <v>6.1943999999999999</v>
      </c>
      <c r="G312" s="64">
        <f>6.2043 * CHOOSE(CONTROL!$C$22, $C$13, 100%, $E$13)</f>
        <v>6.2042999999999999</v>
      </c>
      <c r="H312" s="64">
        <f>10.3281* CHOOSE(CONTROL!$C$22, $C$13, 100%, $E$13)</f>
        <v>10.328099999999999</v>
      </c>
      <c r="I312" s="64">
        <f>10.3379 * CHOOSE(CONTROL!$C$22, $C$13, 100%, $E$13)</f>
        <v>10.337899999999999</v>
      </c>
      <c r="J312" s="64">
        <f>6.1944 * CHOOSE(CONTROL!$C$22, $C$13, 100%, $E$13)</f>
        <v>6.1943999999999999</v>
      </c>
      <c r="K312" s="64">
        <f>6.2043 * CHOOSE(CONTROL!$C$22, $C$13, 100%, $E$13)</f>
        <v>6.2042999999999999</v>
      </c>
    </row>
    <row r="313" spans="1:11" ht="15">
      <c r="A313" s="13">
        <v>51014</v>
      </c>
      <c r="B313" s="63">
        <f>5.0988 * CHOOSE(CONTROL!$C$22, $C$13, 100%, $E$13)</f>
        <v>5.0987999999999998</v>
      </c>
      <c r="C313" s="63">
        <f>5.0988 * CHOOSE(CONTROL!$C$22, $C$13, 100%, $E$13)</f>
        <v>5.0987999999999998</v>
      </c>
      <c r="D313" s="63">
        <f>5.1069 * CHOOSE(CONTROL!$C$22, $C$13, 100%, $E$13)</f>
        <v>5.1069000000000004</v>
      </c>
      <c r="E313" s="64">
        <f>6.1822 * CHOOSE(CONTROL!$C$22, $C$13, 100%, $E$13)</f>
        <v>6.1821999999999999</v>
      </c>
      <c r="F313" s="64">
        <f>6.1822 * CHOOSE(CONTROL!$C$22, $C$13, 100%, $E$13)</f>
        <v>6.1821999999999999</v>
      </c>
      <c r="G313" s="64">
        <f>6.192 * CHOOSE(CONTROL!$C$22, $C$13, 100%, $E$13)</f>
        <v>6.1920000000000002</v>
      </c>
      <c r="H313" s="64">
        <f>10.3496* CHOOSE(CONTROL!$C$22, $C$13, 100%, $E$13)</f>
        <v>10.349600000000001</v>
      </c>
      <c r="I313" s="64">
        <f>10.3594 * CHOOSE(CONTROL!$C$22, $C$13, 100%, $E$13)</f>
        <v>10.359400000000001</v>
      </c>
      <c r="J313" s="64">
        <f>6.1822 * CHOOSE(CONTROL!$C$22, $C$13, 100%, $E$13)</f>
        <v>6.1821999999999999</v>
      </c>
      <c r="K313" s="64">
        <f>6.192 * CHOOSE(CONTROL!$C$22, $C$13, 100%, $E$13)</f>
        <v>6.1920000000000002</v>
      </c>
    </row>
    <row r="314" spans="1:11" ht="15">
      <c r="A314" s="13">
        <v>51044</v>
      </c>
      <c r="B314" s="63">
        <f>5.0975 * CHOOSE(CONTROL!$C$22, $C$13, 100%, $E$13)</f>
        <v>5.0975000000000001</v>
      </c>
      <c r="C314" s="63">
        <f>5.0975 * CHOOSE(CONTROL!$C$22, $C$13, 100%, $E$13)</f>
        <v>5.0975000000000001</v>
      </c>
      <c r="D314" s="63">
        <f>5.0975 * CHOOSE(CONTROL!$C$22, $C$13, 100%, $E$13)</f>
        <v>5.0975000000000001</v>
      </c>
      <c r="E314" s="64">
        <f>6.2093 * CHOOSE(CONTROL!$C$22, $C$13, 100%, $E$13)</f>
        <v>6.2092999999999998</v>
      </c>
      <c r="F314" s="64">
        <f>6.2093 * CHOOSE(CONTROL!$C$22, $C$13, 100%, $E$13)</f>
        <v>6.2092999999999998</v>
      </c>
      <c r="G314" s="64">
        <f>6.2094 * CHOOSE(CONTROL!$C$22, $C$13, 100%, $E$13)</f>
        <v>6.2093999999999996</v>
      </c>
      <c r="H314" s="64">
        <f>10.3712* CHOOSE(CONTROL!$C$22, $C$13, 100%, $E$13)</f>
        <v>10.3712</v>
      </c>
      <c r="I314" s="64">
        <f>10.3712 * CHOOSE(CONTROL!$C$22, $C$13, 100%, $E$13)</f>
        <v>10.3712</v>
      </c>
      <c r="J314" s="64">
        <f>6.2093 * CHOOSE(CONTROL!$C$22, $C$13, 100%, $E$13)</f>
        <v>6.2092999999999998</v>
      </c>
      <c r="K314" s="64">
        <f>6.2094 * CHOOSE(CONTROL!$C$22, $C$13, 100%, $E$13)</f>
        <v>6.2093999999999996</v>
      </c>
    </row>
    <row r="315" spans="1:11" ht="15">
      <c r="A315" s="13">
        <v>51075</v>
      </c>
      <c r="B315" s="63">
        <f>5.1006 * CHOOSE(CONTROL!$C$22, $C$13, 100%, $E$13)</f>
        <v>5.1006</v>
      </c>
      <c r="C315" s="63">
        <f>5.1006 * CHOOSE(CONTROL!$C$22, $C$13, 100%, $E$13)</f>
        <v>5.1006</v>
      </c>
      <c r="D315" s="63">
        <f>5.1006 * CHOOSE(CONTROL!$C$22, $C$13, 100%, $E$13)</f>
        <v>5.1006</v>
      </c>
      <c r="E315" s="64">
        <f>6.2316 * CHOOSE(CONTROL!$C$22, $C$13, 100%, $E$13)</f>
        <v>6.2316000000000003</v>
      </c>
      <c r="F315" s="64">
        <f>6.2316 * CHOOSE(CONTROL!$C$22, $C$13, 100%, $E$13)</f>
        <v>6.2316000000000003</v>
      </c>
      <c r="G315" s="64">
        <f>6.2317 * CHOOSE(CONTROL!$C$22, $C$13, 100%, $E$13)</f>
        <v>6.2317</v>
      </c>
      <c r="H315" s="64">
        <f>10.3928* CHOOSE(CONTROL!$C$22, $C$13, 100%, $E$13)</f>
        <v>10.392799999999999</v>
      </c>
      <c r="I315" s="64">
        <f>10.3929 * CHOOSE(CONTROL!$C$22, $C$13, 100%, $E$13)</f>
        <v>10.392899999999999</v>
      </c>
      <c r="J315" s="64">
        <f>6.2316 * CHOOSE(CONTROL!$C$22, $C$13, 100%, $E$13)</f>
        <v>6.2316000000000003</v>
      </c>
      <c r="K315" s="64">
        <f>6.2317 * CHOOSE(CONTROL!$C$22, $C$13, 100%, $E$13)</f>
        <v>6.2317</v>
      </c>
    </row>
    <row r="316" spans="1:11" ht="15">
      <c r="A316" s="13">
        <v>51105</v>
      </c>
      <c r="B316" s="63">
        <f>5.1006 * CHOOSE(CONTROL!$C$22, $C$13, 100%, $E$13)</f>
        <v>5.1006</v>
      </c>
      <c r="C316" s="63">
        <f>5.1006 * CHOOSE(CONTROL!$C$22, $C$13, 100%, $E$13)</f>
        <v>5.1006</v>
      </c>
      <c r="D316" s="63">
        <f>5.1006 * CHOOSE(CONTROL!$C$22, $C$13, 100%, $E$13)</f>
        <v>5.1006</v>
      </c>
      <c r="E316" s="64">
        <f>6.181 * CHOOSE(CONTROL!$C$22, $C$13, 100%, $E$13)</f>
        <v>6.181</v>
      </c>
      <c r="F316" s="64">
        <f>6.181 * CHOOSE(CONTROL!$C$22, $C$13, 100%, $E$13)</f>
        <v>6.181</v>
      </c>
      <c r="G316" s="64">
        <f>6.1811 * CHOOSE(CONTROL!$C$22, $C$13, 100%, $E$13)</f>
        <v>6.1810999999999998</v>
      </c>
      <c r="H316" s="64">
        <f>10.4144* CHOOSE(CONTROL!$C$22, $C$13, 100%, $E$13)</f>
        <v>10.414400000000001</v>
      </c>
      <c r="I316" s="64">
        <f>10.4145 * CHOOSE(CONTROL!$C$22, $C$13, 100%, $E$13)</f>
        <v>10.4145</v>
      </c>
      <c r="J316" s="64">
        <f>6.181 * CHOOSE(CONTROL!$C$22, $C$13, 100%, $E$13)</f>
        <v>6.181</v>
      </c>
      <c r="K316" s="64">
        <f>6.1811 * CHOOSE(CONTROL!$C$22, $C$13, 100%, $E$13)</f>
        <v>6.1810999999999998</v>
      </c>
    </row>
    <row r="317" spans="1:11" ht="15">
      <c r="A317" s="13">
        <v>51136</v>
      </c>
      <c r="B317" s="63">
        <f>5.146 * CHOOSE(CONTROL!$C$22, $C$13, 100%, $E$13)</f>
        <v>5.1459999999999999</v>
      </c>
      <c r="C317" s="63">
        <f>5.146 * CHOOSE(CONTROL!$C$22, $C$13, 100%, $E$13)</f>
        <v>5.1459999999999999</v>
      </c>
      <c r="D317" s="63">
        <f>5.146 * CHOOSE(CONTROL!$C$22, $C$13, 100%, $E$13)</f>
        <v>5.1459999999999999</v>
      </c>
      <c r="E317" s="64">
        <f>6.2686 * CHOOSE(CONTROL!$C$22, $C$13, 100%, $E$13)</f>
        <v>6.2686000000000002</v>
      </c>
      <c r="F317" s="64">
        <f>6.2686 * CHOOSE(CONTROL!$C$22, $C$13, 100%, $E$13)</f>
        <v>6.2686000000000002</v>
      </c>
      <c r="G317" s="64">
        <f>6.2687 * CHOOSE(CONTROL!$C$22, $C$13, 100%, $E$13)</f>
        <v>6.2686999999999999</v>
      </c>
      <c r="H317" s="64">
        <f>10.4361* CHOOSE(CONTROL!$C$22, $C$13, 100%, $E$13)</f>
        <v>10.4361</v>
      </c>
      <c r="I317" s="64">
        <f>10.4362 * CHOOSE(CONTROL!$C$22, $C$13, 100%, $E$13)</f>
        <v>10.436199999999999</v>
      </c>
      <c r="J317" s="64">
        <f>6.2686 * CHOOSE(CONTROL!$C$22, $C$13, 100%, $E$13)</f>
        <v>6.2686000000000002</v>
      </c>
      <c r="K317" s="64">
        <f>6.2687 * CHOOSE(CONTROL!$C$22, $C$13, 100%, $E$13)</f>
        <v>6.2686999999999999</v>
      </c>
    </row>
    <row r="318" spans="1:11" ht="15">
      <c r="A318" s="13">
        <v>51167</v>
      </c>
      <c r="B318" s="63">
        <f>5.1429 * CHOOSE(CONTROL!$C$22, $C$13, 100%, $E$13)</f>
        <v>5.1429</v>
      </c>
      <c r="C318" s="63">
        <f>5.1429 * CHOOSE(CONTROL!$C$22, $C$13, 100%, $E$13)</f>
        <v>5.1429</v>
      </c>
      <c r="D318" s="63">
        <f>5.1429 * CHOOSE(CONTROL!$C$22, $C$13, 100%, $E$13)</f>
        <v>5.1429</v>
      </c>
      <c r="E318" s="64">
        <f>6.1681 * CHOOSE(CONTROL!$C$22, $C$13, 100%, $E$13)</f>
        <v>6.1680999999999999</v>
      </c>
      <c r="F318" s="64">
        <f>6.1681 * CHOOSE(CONTROL!$C$22, $C$13, 100%, $E$13)</f>
        <v>6.1680999999999999</v>
      </c>
      <c r="G318" s="64">
        <f>6.1682 * CHOOSE(CONTROL!$C$22, $C$13, 100%, $E$13)</f>
        <v>6.1681999999999997</v>
      </c>
      <c r="H318" s="64">
        <f>10.4579* CHOOSE(CONTROL!$C$22, $C$13, 100%, $E$13)</f>
        <v>10.4579</v>
      </c>
      <c r="I318" s="64">
        <f>10.4579 * CHOOSE(CONTROL!$C$22, $C$13, 100%, $E$13)</f>
        <v>10.4579</v>
      </c>
      <c r="J318" s="64">
        <f>6.1681 * CHOOSE(CONTROL!$C$22, $C$13, 100%, $E$13)</f>
        <v>6.1680999999999999</v>
      </c>
      <c r="K318" s="64">
        <f>6.1682 * CHOOSE(CONTROL!$C$22, $C$13, 100%, $E$13)</f>
        <v>6.1681999999999997</v>
      </c>
    </row>
    <row r="319" spans="1:11" ht="15">
      <c r="A319" s="13">
        <v>51196</v>
      </c>
      <c r="B319" s="63">
        <f>5.1399 * CHOOSE(CONTROL!$C$22, $C$13, 100%, $E$13)</f>
        <v>5.1398999999999999</v>
      </c>
      <c r="C319" s="63">
        <f>5.1399 * CHOOSE(CONTROL!$C$22, $C$13, 100%, $E$13)</f>
        <v>5.1398999999999999</v>
      </c>
      <c r="D319" s="63">
        <f>5.1399 * CHOOSE(CONTROL!$C$22, $C$13, 100%, $E$13)</f>
        <v>5.1398999999999999</v>
      </c>
      <c r="E319" s="64">
        <f>6.2435 * CHOOSE(CONTROL!$C$22, $C$13, 100%, $E$13)</f>
        <v>6.2435</v>
      </c>
      <c r="F319" s="64">
        <f>6.2435 * CHOOSE(CONTROL!$C$22, $C$13, 100%, $E$13)</f>
        <v>6.2435</v>
      </c>
      <c r="G319" s="64">
        <f>6.2436 * CHOOSE(CONTROL!$C$22, $C$13, 100%, $E$13)</f>
        <v>6.2435999999999998</v>
      </c>
      <c r="H319" s="64">
        <f>10.4796* CHOOSE(CONTROL!$C$22, $C$13, 100%, $E$13)</f>
        <v>10.4796</v>
      </c>
      <c r="I319" s="64">
        <f>10.4797 * CHOOSE(CONTROL!$C$22, $C$13, 100%, $E$13)</f>
        <v>10.479699999999999</v>
      </c>
      <c r="J319" s="64">
        <f>6.2435 * CHOOSE(CONTROL!$C$22, $C$13, 100%, $E$13)</f>
        <v>6.2435</v>
      </c>
      <c r="K319" s="64">
        <f>6.2436 * CHOOSE(CONTROL!$C$22, $C$13, 100%, $E$13)</f>
        <v>6.2435999999999998</v>
      </c>
    </row>
    <row r="320" spans="1:11" ht="15">
      <c r="A320" s="13">
        <v>51227</v>
      </c>
      <c r="B320" s="63">
        <f>5.1385 * CHOOSE(CONTROL!$C$22, $C$13, 100%, $E$13)</f>
        <v>5.1384999999999996</v>
      </c>
      <c r="C320" s="63">
        <f>5.1385 * CHOOSE(CONTROL!$C$22, $C$13, 100%, $E$13)</f>
        <v>5.1384999999999996</v>
      </c>
      <c r="D320" s="63">
        <f>5.1385 * CHOOSE(CONTROL!$C$22, $C$13, 100%, $E$13)</f>
        <v>5.1384999999999996</v>
      </c>
      <c r="E320" s="64">
        <f>6.3226 * CHOOSE(CONTROL!$C$22, $C$13, 100%, $E$13)</f>
        <v>6.3226000000000004</v>
      </c>
      <c r="F320" s="64">
        <f>6.3226 * CHOOSE(CONTROL!$C$22, $C$13, 100%, $E$13)</f>
        <v>6.3226000000000004</v>
      </c>
      <c r="G320" s="64">
        <f>6.3227 * CHOOSE(CONTROL!$C$22, $C$13, 100%, $E$13)</f>
        <v>6.3227000000000002</v>
      </c>
      <c r="H320" s="64">
        <f>10.5015* CHOOSE(CONTROL!$C$22, $C$13, 100%, $E$13)</f>
        <v>10.5015</v>
      </c>
      <c r="I320" s="64">
        <f>10.5016 * CHOOSE(CONTROL!$C$22, $C$13, 100%, $E$13)</f>
        <v>10.5016</v>
      </c>
      <c r="J320" s="64">
        <f>6.3226 * CHOOSE(CONTROL!$C$22, $C$13, 100%, $E$13)</f>
        <v>6.3226000000000004</v>
      </c>
      <c r="K320" s="64">
        <f>6.3227 * CHOOSE(CONTROL!$C$22, $C$13, 100%, $E$13)</f>
        <v>6.3227000000000002</v>
      </c>
    </row>
    <row r="321" spans="1:11" ht="15">
      <c r="A321" s="13">
        <v>51257</v>
      </c>
      <c r="B321" s="63">
        <f>5.1385 * CHOOSE(CONTROL!$C$22, $C$13, 100%, $E$13)</f>
        <v>5.1384999999999996</v>
      </c>
      <c r="C321" s="63">
        <f>5.1385 * CHOOSE(CONTROL!$C$22, $C$13, 100%, $E$13)</f>
        <v>5.1384999999999996</v>
      </c>
      <c r="D321" s="63">
        <f>5.1466 * CHOOSE(CONTROL!$C$22, $C$13, 100%, $E$13)</f>
        <v>5.1466000000000003</v>
      </c>
      <c r="E321" s="64">
        <f>6.3538 * CHOOSE(CONTROL!$C$22, $C$13, 100%, $E$13)</f>
        <v>6.3537999999999997</v>
      </c>
      <c r="F321" s="64">
        <f>6.3538 * CHOOSE(CONTROL!$C$22, $C$13, 100%, $E$13)</f>
        <v>6.3537999999999997</v>
      </c>
      <c r="G321" s="64">
        <f>6.3637 * CHOOSE(CONTROL!$C$22, $C$13, 100%, $E$13)</f>
        <v>6.3636999999999997</v>
      </c>
      <c r="H321" s="64">
        <f>10.5234* CHOOSE(CONTROL!$C$22, $C$13, 100%, $E$13)</f>
        <v>10.523400000000001</v>
      </c>
      <c r="I321" s="64">
        <f>10.5332 * CHOOSE(CONTROL!$C$22, $C$13, 100%, $E$13)</f>
        <v>10.533200000000001</v>
      </c>
      <c r="J321" s="64">
        <f>6.3538 * CHOOSE(CONTROL!$C$22, $C$13, 100%, $E$13)</f>
        <v>6.3537999999999997</v>
      </c>
      <c r="K321" s="64">
        <f>6.3637 * CHOOSE(CONTROL!$C$22, $C$13, 100%, $E$13)</f>
        <v>6.3636999999999997</v>
      </c>
    </row>
    <row r="322" spans="1:11" ht="15">
      <c r="A322" s="13">
        <v>51288</v>
      </c>
      <c r="B322" s="63">
        <f>5.1446 * CHOOSE(CONTROL!$C$22, $C$13, 100%, $E$13)</f>
        <v>5.1445999999999996</v>
      </c>
      <c r="C322" s="63">
        <f>5.1446 * CHOOSE(CONTROL!$C$22, $C$13, 100%, $E$13)</f>
        <v>5.1445999999999996</v>
      </c>
      <c r="D322" s="63">
        <f>5.1527 * CHOOSE(CONTROL!$C$22, $C$13, 100%, $E$13)</f>
        <v>5.1527000000000003</v>
      </c>
      <c r="E322" s="64">
        <f>6.3268 * CHOOSE(CONTROL!$C$22, $C$13, 100%, $E$13)</f>
        <v>6.3268000000000004</v>
      </c>
      <c r="F322" s="64">
        <f>6.3268 * CHOOSE(CONTROL!$C$22, $C$13, 100%, $E$13)</f>
        <v>6.3268000000000004</v>
      </c>
      <c r="G322" s="64">
        <f>6.3367 * CHOOSE(CONTROL!$C$22, $C$13, 100%, $E$13)</f>
        <v>6.3367000000000004</v>
      </c>
      <c r="H322" s="64">
        <f>10.5453* CHOOSE(CONTROL!$C$22, $C$13, 100%, $E$13)</f>
        <v>10.545299999999999</v>
      </c>
      <c r="I322" s="64">
        <f>10.5551 * CHOOSE(CONTROL!$C$22, $C$13, 100%, $E$13)</f>
        <v>10.555099999999999</v>
      </c>
      <c r="J322" s="64">
        <f>6.3268 * CHOOSE(CONTROL!$C$22, $C$13, 100%, $E$13)</f>
        <v>6.3268000000000004</v>
      </c>
      <c r="K322" s="64">
        <f>6.3367 * CHOOSE(CONTROL!$C$22, $C$13, 100%, $E$13)</f>
        <v>6.3367000000000004</v>
      </c>
    </row>
    <row r="323" spans="1:11" ht="15">
      <c r="A323" s="13">
        <v>51318</v>
      </c>
      <c r="B323" s="63">
        <f>5.2293 * CHOOSE(CONTROL!$C$22, $C$13, 100%, $E$13)</f>
        <v>5.2293000000000003</v>
      </c>
      <c r="C323" s="63">
        <f>5.2293 * CHOOSE(CONTROL!$C$22, $C$13, 100%, $E$13)</f>
        <v>5.2293000000000003</v>
      </c>
      <c r="D323" s="63">
        <f>5.2374 * CHOOSE(CONTROL!$C$22, $C$13, 100%, $E$13)</f>
        <v>5.2374000000000001</v>
      </c>
      <c r="E323" s="64">
        <f>6.4346 * CHOOSE(CONTROL!$C$22, $C$13, 100%, $E$13)</f>
        <v>6.4345999999999997</v>
      </c>
      <c r="F323" s="64">
        <f>6.4346 * CHOOSE(CONTROL!$C$22, $C$13, 100%, $E$13)</f>
        <v>6.4345999999999997</v>
      </c>
      <c r="G323" s="64">
        <f>6.4444 * CHOOSE(CONTROL!$C$22, $C$13, 100%, $E$13)</f>
        <v>6.4443999999999999</v>
      </c>
      <c r="H323" s="64">
        <f>10.5673* CHOOSE(CONTROL!$C$22, $C$13, 100%, $E$13)</f>
        <v>10.567299999999999</v>
      </c>
      <c r="I323" s="64">
        <f>10.5771 * CHOOSE(CONTROL!$C$22, $C$13, 100%, $E$13)</f>
        <v>10.5771</v>
      </c>
      <c r="J323" s="64">
        <f>6.4346 * CHOOSE(CONTROL!$C$22, $C$13, 100%, $E$13)</f>
        <v>6.4345999999999997</v>
      </c>
      <c r="K323" s="64">
        <f>6.4444 * CHOOSE(CONTROL!$C$22, $C$13, 100%, $E$13)</f>
        <v>6.4443999999999999</v>
      </c>
    </row>
    <row r="324" spans="1:11" ht="15">
      <c r="A324" s="13">
        <v>51349</v>
      </c>
      <c r="B324" s="63">
        <f>5.236 * CHOOSE(CONTROL!$C$22, $C$13, 100%, $E$13)</f>
        <v>5.2359999999999998</v>
      </c>
      <c r="C324" s="63">
        <f>5.236 * CHOOSE(CONTROL!$C$22, $C$13, 100%, $E$13)</f>
        <v>5.2359999999999998</v>
      </c>
      <c r="D324" s="63">
        <f>5.2441 * CHOOSE(CONTROL!$C$22, $C$13, 100%, $E$13)</f>
        <v>5.2441000000000004</v>
      </c>
      <c r="E324" s="64">
        <f>6.3455 * CHOOSE(CONTROL!$C$22, $C$13, 100%, $E$13)</f>
        <v>6.3455000000000004</v>
      </c>
      <c r="F324" s="64">
        <f>6.3455 * CHOOSE(CONTROL!$C$22, $C$13, 100%, $E$13)</f>
        <v>6.3455000000000004</v>
      </c>
      <c r="G324" s="64">
        <f>6.3553 * CHOOSE(CONTROL!$C$22, $C$13, 100%, $E$13)</f>
        <v>6.3552999999999997</v>
      </c>
      <c r="H324" s="64">
        <f>10.5893* CHOOSE(CONTROL!$C$22, $C$13, 100%, $E$13)</f>
        <v>10.5893</v>
      </c>
      <c r="I324" s="64">
        <f>10.5991 * CHOOSE(CONTROL!$C$22, $C$13, 100%, $E$13)</f>
        <v>10.5991</v>
      </c>
      <c r="J324" s="64">
        <f>6.3455 * CHOOSE(CONTROL!$C$22, $C$13, 100%, $E$13)</f>
        <v>6.3455000000000004</v>
      </c>
      <c r="K324" s="64">
        <f>6.3553 * CHOOSE(CONTROL!$C$22, $C$13, 100%, $E$13)</f>
        <v>6.3552999999999997</v>
      </c>
    </row>
    <row r="325" spans="1:11" ht="15">
      <c r="A325" s="13">
        <v>51380</v>
      </c>
      <c r="B325" s="63">
        <f>5.233 * CHOOSE(CONTROL!$C$22, $C$13, 100%, $E$13)</f>
        <v>5.2329999999999997</v>
      </c>
      <c r="C325" s="63">
        <f>5.233 * CHOOSE(CONTROL!$C$22, $C$13, 100%, $E$13)</f>
        <v>5.2329999999999997</v>
      </c>
      <c r="D325" s="63">
        <f>5.2411 * CHOOSE(CONTROL!$C$22, $C$13, 100%, $E$13)</f>
        <v>5.2411000000000003</v>
      </c>
      <c r="E325" s="64">
        <f>6.333 * CHOOSE(CONTROL!$C$22, $C$13, 100%, $E$13)</f>
        <v>6.3330000000000002</v>
      </c>
      <c r="F325" s="64">
        <f>6.333 * CHOOSE(CONTROL!$C$22, $C$13, 100%, $E$13)</f>
        <v>6.3330000000000002</v>
      </c>
      <c r="G325" s="64">
        <f>6.3428 * CHOOSE(CONTROL!$C$22, $C$13, 100%, $E$13)</f>
        <v>6.3428000000000004</v>
      </c>
      <c r="H325" s="64">
        <f>10.6113* CHOOSE(CONTROL!$C$22, $C$13, 100%, $E$13)</f>
        <v>10.6113</v>
      </c>
      <c r="I325" s="64">
        <f>10.6212 * CHOOSE(CONTROL!$C$22, $C$13, 100%, $E$13)</f>
        <v>10.6212</v>
      </c>
      <c r="J325" s="64">
        <f>6.333 * CHOOSE(CONTROL!$C$22, $C$13, 100%, $E$13)</f>
        <v>6.3330000000000002</v>
      </c>
      <c r="K325" s="64">
        <f>6.3428 * CHOOSE(CONTROL!$C$22, $C$13, 100%, $E$13)</f>
        <v>6.3428000000000004</v>
      </c>
    </row>
    <row r="326" spans="1:11" ht="15">
      <c r="A326" s="13">
        <v>51410</v>
      </c>
      <c r="B326" s="63">
        <f>5.2321 * CHOOSE(CONTROL!$C$22, $C$13, 100%, $E$13)</f>
        <v>5.2321</v>
      </c>
      <c r="C326" s="63">
        <f>5.2321 * CHOOSE(CONTROL!$C$22, $C$13, 100%, $E$13)</f>
        <v>5.2321</v>
      </c>
      <c r="D326" s="63">
        <f>5.2321 * CHOOSE(CONTROL!$C$22, $C$13, 100%, $E$13)</f>
        <v>5.2321</v>
      </c>
      <c r="E326" s="64">
        <f>6.3612 * CHOOSE(CONTROL!$C$22, $C$13, 100%, $E$13)</f>
        <v>6.3612000000000002</v>
      </c>
      <c r="F326" s="64">
        <f>6.3612 * CHOOSE(CONTROL!$C$22, $C$13, 100%, $E$13)</f>
        <v>6.3612000000000002</v>
      </c>
      <c r="G326" s="64">
        <f>6.3613 * CHOOSE(CONTROL!$C$22, $C$13, 100%, $E$13)</f>
        <v>6.3613</v>
      </c>
      <c r="H326" s="64">
        <f>10.6334* CHOOSE(CONTROL!$C$22, $C$13, 100%, $E$13)</f>
        <v>10.6334</v>
      </c>
      <c r="I326" s="64">
        <f>10.6335 * CHOOSE(CONTROL!$C$22, $C$13, 100%, $E$13)</f>
        <v>10.6335</v>
      </c>
      <c r="J326" s="64">
        <f>6.3612 * CHOOSE(CONTROL!$C$22, $C$13, 100%, $E$13)</f>
        <v>6.3612000000000002</v>
      </c>
      <c r="K326" s="64">
        <f>6.3613 * CHOOSE(CONTROL!$C$22, $C$13, 100%, $E$13)</f>
        <v>6.3613</v>
      </c>
    </row>
    <row r="327" spans="1:11" ht="15">
      <c r="A327" s="13">
        <v>51441</v>
      </c>
      <c r="B327" s="63">
        <f>5.2352 * CHOOSE(CONTROL!$C$22, $C$13, 100%, $E$13)</f>
        <v>5.2351999999999999</v>
      </c>
      <c r="C327" s="63">
        <f>5.2352 * CHOOSE(CONTROL!$C$22, $C$13, 100%, $E$13)</f>
        <v>5.2351999999999999</v>
      </c>
      <c r="D327" s="63">
        <f>5.2352 * CHOOSE(CONTROL!$C$22, $C$13, 100%, $E$13)</f>
        <v>5.2351999999999999</v>
      </c>
      <c r="E327" s="64">
        <f>6.3842 * CHOOSE(CONTROL!$C$22, $C$13, 100%, $E$13)</f>
        <v>6.3841999999999999</v>
      </c>
      <c r="F327" s="64">
        <f>6.3842 * CHOOSE(CONTROL!$C$22, $C$13, 100%, $E$13)</f>
        <v>6.3841999999999999</v>
      </c>
      <c r="G327" s="64">
        <f>6.3842 * CHOOSE(CONTROL!$C$22, $C$13, 100%, $E$13)</f>
        <v>6.3841999999999999</v>
      </c>
      <c r="H327" s="64">
        <f>10.6556* CHOOSE(CONTROL!$C$22, $C$13, 100%, $E$13)</f>
        <v>10.6556</v>
      </c>
      <c r="I327" s="64">
        <f>10.6557 * CHOOSE(CONTROL!$C$22, $C$13, 100%, $E$13)</f>
        <v>10.6557</v>
      </c>
      <c r="J327" s="64">
        <f>6.3842 * CHOOSE(CONTROL!$C$22, $C$13, 100%, $E$13)</f>
        <v>6.3841999999999999</v>
      </c>
      <c r="K327" s="64">
        <f>6.3842 * CHOOSE(CONTROL!$C$22, $C$13, 100%, $E$13)</f>
        <v>6.3841999999999999</v>
      </c>
    </row>
    <row r="328" spans="1:11" ht="15">
      <c r="A328" s="13">
        <v>51471</v>
      </c>
      <c r="B328" s="63">
        <f>5.2352 * CHOOSE(CONTROL!$C$22, $C$13, 100%, $E$13)</f>
        <v>5.2351999999999999</v>
      </c>
      <c r="C328" s="63">
        <f>5.2352 * CHOOSE(CONTROL!$C$22, $C$13, 100%, $E$13)</f>
        <v>5.2351999999999999</v>
      </c>
      <c r="D328" s="63">
        <f>5.2352 * CHOOSE(CONTROL!$C$22, $C$13, 100%, $E$13)</f>
        <v>5.2351999999999999</v>
      </c>
      <c r="E328" s="64">
        <f>6.3321 * CHOOSE(CONTROL!$C$22, $C$13, 100%, $E$13)</f>
        <v>6.3320999999999996</v>
      </c>
      <c r="F328" s="64">
        <f>6.3321 * CHOOSE(CONTROL!$C$22, $C$13, 100%, $E$13)</f>
        <v>6.3320999999999996</v>
      </c>
      <c r="G328" s="64">
        <f>6.3322 * CHOOSE(CONTROL!$C$22, $C$13, 100%, $E$13)</f>
        <v>6.3322000000000003</v>
      </c>
      <c r="H328" s="64">
        <f>10.6778* CHOOSE(CONTROL!$C$22, $C$13, 100%, $E$13)</f>
        <v>10.6778</v>
      </c>
      <c r="I328" s="64">
        <f>10.6779 * CHOOSE(CONTROL!$C$22, $C$13, 100%, $E$13)</f>
        <v>10.677899999999999</v>
      </c>
      <c r="J328" s="64">
        <f>6.3321 * CHOOSE(CONTROL!$C$22, $C$13, 100%, $E$13)</f>
        <v>6.3320999999999996</v>
      </c>
      <c r="K328" s="64">
        <f>6.3322 * CHOOSE(CONTROL!$C$22, $C$13, 100%, $E$13)</f>
        <v>6.3322000000000003</v>
      </c>
    </row>
    <row r="329" spans="1:11" ht="15">
      <c r="A329" s="13">
        <v>51502</v>
      </c>
      <c r="B329" s="63">
        <f>5.2816 * CHOOSE(CONTROL!$C$22, $C$13, 100%, $E$13)</f>
        <v>5.2816000000000001</v>
      </c>
      <c r="C329" s="63">
        <f>5.2816 * CHOOSE(CONTROL!$C$22, $C$13, 100%, $E$13)</f>
        <v>5.2816000000000001</v>
      </c>
      <c r="D329" s="63">
        <f>5.2816 * CHOOSE(CONTROL!$C$22, $C$13, 100%, $E$13)</f>
        <v>5.2816000000000001</v>
      </c>
      <c r="E329" s="64">
        <f>6.4218 * CHOOSE(CONTROL!$C$22, $C$13, 100%, $E$13)</f>
        <v>6.4218000000000002</v>
      </c>
      <c r="F329" s="64">
        <f>6.4218 * CHOOSE(CONTROL!$C$22, $C$13, 100%, $E$13)</f>
        <v>6.4218000000000002</v>
      </c>
      <c r="G329" s="64">
        <f>6.4219 * CHOOSE(CONTROL!$C$22, $C$13, 100%, $E$13)</f>
        <v>6.4218999999999999</v>
      </c>
      <c r="H329" s="64">
        <f>10.7* CHOOSE(CONTROL!$C$22, $C$13, 100%, $E$13)</f>
        <v>10.7</v>
      </c>
      <c r="I329" s="64">
        <f>10.7001 * CHOOSE(CONTROL!$C$22, $C$13, 100%, $E$13)</f>
        <v>10.700100000000001</v>
      </c>
      <c r="J329" s="64">
        <f>6.4218 * CHOOSE(CONTROL!$C$22, $C$13, 100%, $E$13)</f>
        <v>6.4218000000000002</v>
      </c>
      <c r="K329" s="64">
        <f>6.4219 * CHOOSE(CONTROL!$C$22, $C$13, 100%, $E$13)</f>
        <v>6.4218999999999999</v>
      </c>
    </row>
    <row r="330" spans="1:11" ht="15">
      <c r="A330" s="13">
        <v>51533</v>
      </c>
      <c r="B330" s="63">
        <f>5.2786 * CHOOSE(CONTROL!$C$22, $C$13, 100%, $E$13)</f>
        <v>5.2786</v>
      </c>
      <c r="C330" s="63">
        <f>5.2786 * CHOOSE(CONTROL!$C$22, $C$13, 100%, $E$13)</f>
        <v>5.2786</v>
      </c>
      <c r="D330" s="63">
        <f>5.2786 * CHOOSE(CONTROL!$C$22, $C$13, 100%, $E$13)</f>
        <v>5.2786</v>
      </c>
      <c r="E330" s="64">
        <f>6.3185 * CHOOSE(CONTROL!$C$22, $C$13, 100%, $E$13)</f>
        <v>6.3185000000000002</v>
      </c>
      <c r="F330" s="64">
        <f>6.3185 * CHOOSE(CONTROL!$C$22, $C$13, 100%, $E$13)</f>
        <v>6.3185000000000002</v>
      </c>
      <c r="G330" s="64">
        <f>6.3186 * CHOOSE(CONTROL!$C$22, $C$13, 100%, $E$13)</f>
        <v>6.3186</v>
      </c>
      <c r="H330" s="64">
        <f>10.7223* CHOOSE(CONTROL!$C$22, $C$13, 100%, $E$13)</f>
        <v>10.722300000000001</v>
      </c>
      <c r="I330" s="64">
        <f>10.7224 * CHOOSE(CONTROL!$C$22, $C$13, 100%, $E$13)</f>
        <v>10.7224</v>
      </c>
      <c r="J330" s="64">
        <f>6.3185 * CHOOSE(CONTROL!$C$22, $C$13, 100%, $E$13)</f>
        <v>6.3185000000000002</v>
      </c>
      <c r="K330" s="64">
        <f>6.3186 * CHOOSE(CONTROL!$C$22, $C$13, 100%, $E$13)</f>
        <v>6.3186</v>
      </c>
    </row>
    <row r="331" spans="1:11" ht="15">
      <c r="A331" s="13">
        <v>51561</v>
      </c>
      <c r="B331" s="63">
        <f>5.2755 * CHOOSE(CONTROL!$C$22, $C$13, 100%, $E$13)</f>
        <v>5.2755000000000001</v>
      </c>
      <c r="C331" s="63">
        <f>5.2755 * CHOOSE(CONTROL!$C$22, $C$13, 100%, $E$13)</f>
        <v>5.2755000000000001</v>
      </c>
      <c r="D331" s="63">
        <f>5.2755 * CHOOSE(CONTROL!$C$22, $C$13, 100%, $E$13)</f>
        <v>5.2755000000000001</v>
      </c>
      <c r="E331" s="64">
        <f>6.3961 * CHOOSE(CONTROL!$C$22, $C$13, 100%, $E$13)</f>
        <v>6.3960999999999997</v>
      </c>
      <c r="F331" s="64">
        <f>6.3961 * CHOOSE(CONTROL!$C$22, $C$13, 100%, $E$13)</f>
        <v>6.3960999999999997</v>
      </c>
      <c r="G331" s="64">
        <f>6.3962 * CHOOSE(CONTROL!$C$22, $C$13, 100%, $E$13)</f>
        <v>6.3962000000000003</v>
      </c>
      <c r="H331" s="64">
        <f>10.7447* CHOOSE(CONTROL!$C$22, $C$13, 100%, $E$13)</f>
        <v>10.7447</v>
      </c>
      <c r="I331" s="64">
        <f>10.7447 * CHOOSE(CONTROL!$C$22, $C$13, 100%, $E$13)</f>
        <v>10.7447</v>
      </c>
      <c r="J331" s="64">
        <f>6.3961 * CHOOSE(CONTROL!$C$22, $C$13, 100%, $E$13)</f>
        <v>6.3960999999999997</v>
      </c>
      <c r="K331" s="64">
        <f>6.3962 * CHOOSE(CONTROL!$C$22, $C$13, 100%, $E$13)</f>
        <v>6.3962000000000003</v>
      </c>
    </row>
    <row r="332" spans="1:11" ht="15">
      <c r="A332" s="13">
        <v>51592</v>
      </c>
      <c r="B332" s="63">
        <f>5.2743 * CHOOSE(CONTROL!$C$22, $C$13, 100%, $E$13)</f>
        <v>5.2743000000000002</v>
      </c>
      <c r="C332" s="63">
        <f>5.2743 * CHOOSE(CONTROL!$C$22, $C$13, 100%, $E$13)</f>
        <v>5.2743000000000002</v>
      </c>
      <c r="D332" s="63">
        <f>5.2743 * CHOOSE(CONTROL!$C$22, $C$13, 100%, $E$13)</f>
        <v>5.2743000000000002</v>
      </c>
      <c r="E332" s="64">
        <f>6.4775 * CHOOSE(CONTROL!$C$22, $C$13, 100%, $E$13)</f>
        <v>6.4775</v>
      </c>
      <c r="F332" s="64">
        <f>6.4775 * CHOOSE(CONTROL!$C$22, $C$13, 100%, $E$13)</f>
        <v>6.4775</v>
      </c>
      <c r="G332" s="64">
        <f>6.4776 * CHOOSE(CONTROL!$C$22, $C$13, 100%, $E$13)</f>
        <v>6.4775999999999998</v>
      </c>
      <c r="H332" s="64">
        <f>10.767* CHOOSE(CONTROL!$C$22, $C$13, 100%, $E$13)</f>
        <v>10.766999999999999</v>
      </c>
      <c r="I332" s="64">
        <f>10.7671 * CHOOSE(CONTROL!$C$22, $C$13, 100%, $E$13)</f>
        <v>10.767099999999999</v>
      </c>
      <c r="J332" s="64">
        <f>6.4775 * CHOOSE(CONTROL!$C$22, $C$13, 100%, $E$13)</f>
        <v>6.4775</v>
      </c>
      <c r="K332" s="64">
        <f>6.4776 * CHOOSE(CONTROL!$C$22, $C$13, 100%, $E$13)</f>
        <v>6.4775999999999998</v>
      </c>
    </row>
    <row r="333" spans="1:11" ht="15">
      <c r="A333" s="13">
        <v>51622</v>
      </c>
      <c r="B333" s="63">
        <f>5.2743 * CHOOSE(CONTROL!$C$22, $C$13, 100%, $E$13)</f>
        <v>5.2743000000000002</v>
      </c>
      <c r="C333" s="63">
        <f>5.2743 * CHOOSE(CONTROL!$C$22, $C$13, 100%, $E$13)</f>
        <v>5.2743000000000002</v>
      </c>
      <c r="D333" s="63">
        <f>5.2824 * CHOOSE(CONTROL!$C$22, $C$13, 100%, $E$13)</f>
        <v>5.2824</v>
      </c>
      <c r="E333" s="64">
        <f>6.5097 * CHOOSE(CONTROL!$C$22, $C$13, 100%, $E$13)</f>
        <v>6.5096999999999996</v>
      </c>
      <c r="F333" s="64">
        <f>6.5097 * CHOOSE(CONTROL!$C$22, $C$13, 100%, $E$13)</f>
        <v>6.5096999999999996</v>
      </c>
      <c r="G333" s="64">
        <f>6.5195 * CHOOSE(CONTROL!$C$22, $C$13, 100%, $E$13)</f>
        <v>6.5194999999999999</v>
      </c>
      <c r="H333" s="64">
        <f>10.7895* CHOOSE(CONTROL!$C$22, $C$13, 100%, $E$13)</f>
        <v>10.7895</v>
      </c>
      <c r="I333" s="64">
        <f>10.7993 * CHOOSE(CONTROL!$C$22, $C$13, 100%, $E$13)</f>
        <v>10.799300000000001</v>
      </c>
      <c r="J333" s="64">
        <f>6.5097 * CHOOSE(CONTROL!$C$22, $C$13, 100%, $E$13)</f>
        <v>6.5096999999999996</v>
      </c>
      <c r="K333" s="64">
        <f>6.5195 * CHOOSE(CONTROL!$C$22, $C$13, 100%, $E$13)</f>
        <v>6.5194999999999999</v>
      </c>
    </row>
    <row r="334" spans="1:11" ht="15">
      <c r="A334" s="13">
        <v>51653</v>
      </c>
      <c r="B334" s="63">
        <f>5.2804 * CHOOSE(CONTROL!$C$22, $C$13, 100%, $E$13)</f>
        <v>5.2804000000000002</v>
      </c>
      <c r="C334" s="63">
        <f>5.2804 * CHOOSE(CONTROL!$C$22, $C$13, 100%, $E$13)</f>
        <v>5.2804000000000002</v>
      </c>
      <c r="D334" s="63">
        <f>5.2885 * CHOOSE(CONTROL!$C$22, $C$13, 100%, $E$13)</f>
        <v>5.2885</v>
      </c>
      <c r="E334" s="64">
        <f>6.4818 * CHOOSE(CONTROL!$C$22, $C$13, 100%, $E$13)</f>
        <v>6.4817999999999998</v>
      </c>
      <c r="F334" s="64">
        <f>6.4818 * CHOOSE(CONTROL!$C$22, $C$13, 100%, $E$13)</f>
        <v>6.4817999999999998</v>
      </c>
      <c r="G334" s="64">
        <f>6.4916 * CHOOSE(CONTROL!$C$22, $C$13, 100%, $E$13)</f>
        <v>6.4916</v>
      </c>
      <c r="H334" s="64">
        <f>10.812* CHOOSE(CONTROL!$C$22, $C$13, 100%, $E$13)</f>
        <v>10.811999999999999</v>
      </c>
      <c r="I334" s="64">
        <f>10.8218 * CHOOSE(CONTROL!$C$22, $C$13, 100%, $E$13)</f>
        <v>10.8218</v>
      </c>
      <c r="J334" s="64">
        <f>6.4818 * CHOOSE(CONTROL!$C$22, $C$13, 100%, $E$13)</f>
        <v>6.4817999999999998</v>
      </c>
      <c r="K334" s="64">
        <f>6.4916 * CHOOSE(CONTROL!$C$22, $C$13, 100%, $E$13)</f>
        <v>6.4916</v>
      </c>
    </row>
    <row r="335" spans="1:11" ht="15">
      <c r="A335" s="13">
        <v>51683</v>
      </c>
      <c r="B335" s="63">
        <f>5.3669 * CHOOSE(CONTROL!$C$22, $C$13, 100%, $E$13)</f>
        <v>5.3669000000000002</v>
      </c>
      <c r="C335" s="63">
        <f>5.3669 * CHOOSE(CONTROL!$C$22, $C$13, 100%, $E$13)</f>
        <v>5.3669000000000002</v>
      </c>
      <c r="D335" s="63">
        <f>5.375 * CHOOSE(CONTROL!$C$22, $C$13, 100%, $E$13)</f>
        <v>5.375</v>
      </c>
      <c r="E335" s="64">
        <f>6.5916 * CHOOSE(CONTROL!$C$22, $C$13, 100%, $E$13)</f>
        <v>6.5915999999999997</v>
      </c>
      <c r="F335" s="64">
        <f>6.5916 * CHOOSE(CONTROL!$C$22, $C$13, 100%, $E$13)</f>
        <v>6.5915999999999997</v>
      </c>
      <c r="G335" s="64">
        <f>6.6014 * CHOOSE(CONTROL!$C$22, $C$13, 100%, $E$13)</f>
        <v>6.6013999999999999</v>
      </c>
      <c r="H335" s="64">
        <f>10.8345* CHOOSE(CONTROL!$C$22, $C$13, 100%, $E$13)</f>
        <v>10.8345</v>
      </c>
      <c r="I335" s="64">
        <f>10.8443 * CHOOSE(CONTROL!$C$22, $C$13, 100%, $E$13)</f>
        <v>10.8443</v>
      </c>
      <c r="J335" s="64">
        <f>6.5916 * CHOOSE(CONTROL!$C$22, $C$13, 100%, $E$13)</f>
        <v>6.5915999999999997</v>
      </c>
      <c r="K335" s="64">
        <f>6.6014 * CHOOSE(CONTROL!$C$22, $C$13, 100%, $E$13)</f>
        <v>6.6013999999999999</v>
      </c>
    </row>
    <row r="336" spans="1:11" ht="15">
      <c r="A336" s="13">
        <v>51714</v>
      </c>
      <c r="B336" s="63">
        <f>5.3736 * CHOOSE(CONTROL!$C$22, $C$13, 100%, $E$13)</f>
        <v>5.3735999999999997</v>
      </c>
      <c r="C336" s="63">
        <f>5.3736 * CHOOSE(CONTROL!$C$22, $C$13, 100%, $E$13)</f>
        <v>5.3735999999999997</v>
      </c>
      <c r="D336" s="63">
        <f>5.3817 * CHOOSE(CONTROL!$C$22, $C$13, 100%, $E$13)</f>
        <v>5.3817000000000004</v>
      </c>
      <c r="E336" s="64">
        <f>6.4999 * CHOOSE(CONTROL!$C$22, $C$13, 100%, $E$13)</f>
        <v>6.4999000000000002</v>
      </c>
      <c r="F336" s="64">
        <f>6.4999 * CHOOSE(CONTROL!$C$22, $C$13, 100%, $E$13)</f>
        <v>6.4999000000000002</v>
      </c>
      <c r="G336" s="64">
        <f>6.5098 * CHOOSE(CONTROL!$C$22, $C$13, 100%, $E$13)</f>
        <v>6.5098000000000003</v>
      </c>
      <c r="H336" s="64">
        <f>10.8571* CHOOSE(CONTROL!$C$22, $C$13, 100%, $E$13)</f>
        <v>10.857100000000001</v>
      </c>
      <c r="I336" s="64">
        <f>10.8669 * CHOOSE(CONTROL!$C$22, $C$13, 100%, $E$13)</f>
        <v>10.866899999999999</v>
      </c>
      <c r="J336" s="64">
        <f>6.4999 * CHOOSE(CONTROL!$C$22, $C$13, 100%, $E$13)</f>
        <v>6.4999000000000002</v>
      </c>
      <c r="K336" s="64">
        <f>6.5098 * CHOOSE(CONTROL!$C$22, $C$13, 100%, $E$13)</f>
        <v>6.5098000000000003</v>
      </c>
    </row>
    <row r="337" spans="1:11" ht="15">
      <c r="A337" s="13">
        <v>51745</v>
      </c>
      <c r="B337" s="63">
        <f>5.3705 * CHOOSE(CONTROL!$C$22, $C$13, 100%, $E$13)</f>
        <v>5.3704999999999998</v>
      </c>
      <c r="C337" s="63">
        <f>5.3705 * CHOOSE(CONTROL!$C$22, $C$13, 100%, $E$13)</f>
        <v>5.3704999999999998</v>
      </c>
      <c r="D337" s="63">
        <f>5.3786 * CHOOSE(CONTROL!$C$22, $C$13, 100%, $E$13)</f>
        <v>5.3785999999999996</v>
      </c>
      <c r="E337" s="64">
        <f>6.4871 * CHOOSE(CONTROL!$C$22, $C$13, 100%, $E$13)</f>
        <v>6.4870999999999999</v>
      </c>
      <c r="F337" s="64">
        <f>6.4871 * CHOOSE(CONTROL!$C$22, $C$13, 100%, $E$13)</f>
        <v>6.4870999999999999</v>
      </c>
      <c r="G337" s="64">
        <f>6.4969 * CHOOSE(CONTROL!$C$22, $C$13, 100%, $E$13)</f>
        <v>6.4969000000000001</v>
      </c>
      <c r="H337" s="64">
        <f>10.8797* CHOOSE(CONTROL!$C$22, $C$13, 100%, $E$13)</f>
        <v>10.8797</v>
      </c>
      <c r="I337" s="64">
        <f>10.8895 * CHOOSE(CONTROL!$C$22, $C$13, 100%, $E$13)</f>
        <v>10.8895</v>
      </c>
      <c r="J337" s="64">
        <f>6.4871 * CHOOSE(CONTROL!$C$22, $C$13, 100%, $E$13)</f>
        <v>6.4870999999999999</v>
      </c>
      <c r="K337" s="64">
        <f>6.4969 * CHOOSE(CONTROL!$C$22, $C$13, 100%, $E$13)</f>
        <v>6.4969000000000001</v>
      </c>
    </row>
    <row r="338" spans="1:11" ht="15">
      <c r="A338" s="13">
        <v>51775</v>
      </c>
      <c r="B338" s="63">
        <f>5.3701 * CHOOSE(CONTROL!$C$22, $C$13, 100%, $E$13)</f>
        <v>5.3700999999999999</v>
      </c>
      <c r="C338" s="63">
        <f>5.3701 * CHOOSE(CONTROL!$C$22, $C$13, 100%, $E$13)</f>
        <v>5.3700999999999999</v>
      </c>
      <c r="D338" s="63">
        <f>5.3701 * CHOOSE(CONTROL!$C$22, $C$13, 100%, $E$13)</f>
        <v>5.3700999999999999</v>
      </c>
      <c r="E338" s="64">
        <f>6.5165 * CHOOSE(CONTROL!$C$22, $C$13, 100%, $E$13)</f>
        <v>6.5164999999999997</v>
      </c>
      <c r="F338" s="64">
        <f>6.5165 * CHOOSE(CONTROL!$C$22, $C$13, 100%, $E$13)</f>
        <v>6.5164999999999997</v>
      </c>
      <c r="G338" s="64">
        <f>6.5166 * CHOOSE(CONTROL!$C$22, $C$13, 100%, $E$13)</f>
        <v>6.5166000000000004</v>
      </c>
      <c r="H338" s="64">
        <f>10.9023* CHOOSE(CONTROL!$C$22, $C$13, 100%, $E$13)</f>
        <v>10.9023</v>
      </c>
      <c r="I338" s="64">
        <f>10.9024 * CHOOSE(CONTROL!$C$22, $C$13, 100%, $E$13)</f>
        <v>10.9024</v>
      </c>
      <c r="J338" s="64">
        <f>6.5165 * CHOOSE(CONTROL!$C$22, $C$13, 100%, $E$13)</f>
        <v>6.5164999999999997</v>
      </c>
      <c r="K338" s="64">
        <f>6.5166 * CHOOSE(CONTROL!$C$22, $C$13, 100%, $E$13)</f>
        <v>6.5166000000000004</v>
      </c>
    </row>
    <row r="339" spans="1:11" ht="15">
      <c r="A339" s="13">
        <v>51806</v>
      </c>
      <c r="B339" s="63">
        <f>5.3732 * CHOOSE(CONTROL!$C$22, $C$13, 100%, $E$13)</f>
        <v>5.3731999999999998</v>
      </c>
      <c r="C339" s="63">
        <f>5.3732 * CHOOSE(CONTROL!$C$22, $C$13, 100%, $E$13)</f>
        <v>5.3731999999999998</v>
      </c>
      <c r="D339" s="63">
        <f>5.3732 * CHOOSE(CONTROL!$C$22, $C$13, 100%, $E$13)</f>
        <v>5.3731999999999998</v>
      </c>
      <c r="E339" s="64">
        <f>6.54 * CHOOSE(CONTROL!$C$22, $C$13, 100%, $E$13)</f>
        <v>6.54</v>
      </c>
      <c r="F339" s="64">
        <f>6.54 * CHOOSE(CONTROL!$C$22, $C$13, 100%, $E$13)</f>
        <v>6.54</v>
      </c>
      <c r="G339" s="64">
        <f>6.5401 * CHOOSE(CONTROL!$C$22, $C$13, 100%, $E$13)</f>
        <v>6.5400999999999998</v>
      </c>
      <c r="H339" s="64">
        <f>10.9251* CHOOSE(CONTROL!$C$22, $C$13, 100%, $E$13)</f>
        <v>10.9251</v>
      </c>
      <c r="I339" s="64">
        <f>10.9251 * CHOOSE(CONTROL!$C$22, $C$13, 100%, $E$13)</f>
        <v>10.9251</v>
      </c>
      <c r="J339" s="64">
        <f>6.54 * CHOOSE(CONTROL!$C$22, $C$13, 100%, $E$13)</f>
        <v>6.54</v>
      </c>
      <c r="K339" s="64">
        <f>6.5401 * CHOOSE(CONTROL!$C$22, $C$13, 100%, $E$13)</f>
        <v>6.5400999999999998</v>
      </c>
    </row>
    <row r="340" spans="1:11" ht="15">
      <c r="A340" s="13">
        <v>51836</v>
      </c>
      <c r="B340" s="63">
        <f>5.3732 * CHOOSE(CONTROL!$C$22, $C$13, 100%, $E$13)</f>
        <v>5.3731999999999998</v>
      </c>
      <c r="C340" s="63">
        <f>5.3732 * CHOOSE(CONTROL!$C$22, $C$13, 100%, $E$13)</f>
        <v>5.3731999999999998</v>
      </c>
      <c r="D340" s="63">
        <f>5.3732 * CHOOSE(CONTROL!$C$22, $C$13, 100%, $E$13)</f>
        <v>5.3731999999999998</v>
      </c>
      <c r="E340" s="64">
        <f>6.4865 * CHOOSE(CONTROL!$C$22, $C$13, 100%, $E$13)</f>
        <v>6.4865000000000004</v>
      </c>
      <c r="F340" s="64">
        <f>6.4865 * CHOOSE(CONTROL!$C$22, $C$13, 100%, $E$13)</f>
        <v>6.4865000000000004</v>
      </c>
      <c r="G340" s="64">
        <f>6.4866 * CHOOSE(CONTROL!$C$22, $C$13, 100%, $E$13)</f>
        <v>6.4866000000000001</v>
      </c>
      <c r="H340" s="64">
        <f>10.9478* CHOOSE(CONTROL!$C$22, $C$13, 100%, $E$13)</f>
        <v>10.947800000000001</v>
      </c>
      <c r="I340" s="64">
        <f>10.9479 * CHOOSE(CONTROL!$C$22, $C$13, 100%, $E$13)</f>
        <v>10.947900000000001</v>
      </c>
      <c r="J340" s="64">
        <f>6.4865 * CHOOSE(CONTROL!$C$22, $C$13, 100%, $E$13)</f>
        <v>6.4865000000000004</v>
      </c>
      <c r="K340" s="64">
        <f>6.4866 * CHOOSE(CONTROL!$C$22, $C$13, 100%, $E$13)</f>
        <v>6.4866000000000001</v>
      </c>
    </row>
    <row r="341" spans="1:11" ht="15">
      <c r="A341" s="13">
        <v>51867</v>
      </c>
      <c r="B341" s="63">
        <f>5.4207 * CHOOSE(CONTROL!$C$22, $C$13, 100%, $E$13)</f>
        <v>5.4207000000000001</v>
      </c>
      <c r="C341" s="63">
        <f>5.4207 * CHOOSE(CONTROL!$C$22, $C$13, 100%, $E$13)</f>
        <v>5.4207000000000001</v>
      </c>
      <c r="D341" s="63">
        <f>5.4207 * CHOOSE(CONTROL!$C$22, $C$13, 100%, $E$13)</f>
        <v>5.4207000000000001</v>
      </c>
      <c r="E341" s="64">
        <f>6.5785 * CHOOSE(CONTROL!$C$22, $C$13, 100%, $E$13)</f>
        <v>6.5785</v>
      </c>
      <c r="F341" s="64">
        <f>6.5785 * CHOOSE(CONTROL!$C$22, $C$13, 100%, $E$13)</f>
        <v>6.5785</v>
      </c>
      <c r="G341" s="64">
        <f>6.5786 * CHOOSE(CONTROL!$C$22, $C$13, 100%, $E$13)</f>
        <v>6.5785999999999998</v>
      </c>
      <c r="H341" s="64">
        <f>10.9706* CHOOSE(CONTROL!$C$22, $C$13, 100%, $E$13)</f>
        <v>10.970599999999999</v>
      </c>
      <c r="I341" s="64">
        <f>10.9707 * CHOOSE(CONTROL!$C$22, $C$13, 100%, $E$13)</f>
        <v>10.970700000000001</v>
      </c>
      <c r="J341" s="64">
        <f>6.5785 * CHOOSE(CONTROL!$C$22, $C$13, 100%, $E$13)</f>
        <v>6.5785</v>
      </c>
      <c r="K341" s="64">
        <f>6.5786 * CHOOSE(CONTROL!$C$22, $C$13, 100%, $E$13)</f>
        <v>6.5785999999999998</v>
      </c>
    </row>
    <row r="342" spans="1:11" ht="15">
      <c r="A342" s="13">
        <v>51898</v>
      </c>
      <c r="B342" s="63">
        <f>5.4177 * CHOOSE(CONTROL!$C$22, $C$13, 100%, $E$13)</f>
        <v>5.4177</v>
      </c>
      <c r="C342" s="63">
        <f>5.4177 * CHOOSE(CONTROL!$C$22, $C$13, 100%, $E$13)</f>
        <v>5.4177</v>
      </c>
      <c r="D342" s="63">
        <f>5.4177 * CHOOSE(CONTROL!$C$22, $C$13, 100%, $E$13)</f>
        <v>5.4177</v>
      </c>
      <c r="E342" s="64">
        <f>6.4724 * CHOOSE(CONTROL!$C$22, $C$13, 100%, $E$13)</f>
        <v>6.4724000000000004</v>
      </c>
      <c r="F342" s="64">
        <f>6.4724 * CHOOSE(CONTROL!$C$22, $C$13, 100%, $E$13)</f>
        <v>6.4724000000000004</v>
      </c>
      <c r="G342" s="64">
        <f>6.4725 * CHOOSE(CONTROL!$C$22, $C$13, 100%, $E$13)</f>
        <v>6.4725000000000001</v>
      </c>
      <c r="H342" s="64">
        <f>10.9935* CHOOSE(CONTROL!$C$22, $C$13, 100%, $E$13)</f>
        <v>10.993499999999999</v>
      </c>
      <c r="I342" s="64">
        <f>10.9936 * CHOOSE(CONTROL!$C$22, $C$13, 100%, $E$13)</f>
        <v>10.993600000000001</v>
      </c>
      <c r="J342" s="64">
        <f>6.4724 * CHOOSE(CONTROL!$C$22, $C$13, 100%, $E$13)</f>
        <v>6.4724000000000004</v>
      </c>
      <c r="K342" s="64">
        <f>6.4725 * CHOOSE(CONTROL!$C$22, $C$13, 100%, $E$13)</f>
        <v>6.4725000000000001</v>
      </c>
    </row>
    <row r="343" spans="1:11" ht="15">
      <c r="A343" s="13">
        <v>51926</v>
      </c>
      <c r="B343" s="63">
        <f>5.4147 * CHOOSE(CONTROL!$C$22, $C$13, 100%, $E$13)</f>
        <v>5.4146999999999998</v>
      </c>
      <c r="C343" s="63">
        <f>5.4147 * CHOOSE(CONTROL!$C$22, $C$13, 100%, $E$13)</f>
        <v>5.4146999999999998</v>
      </c>
      <c r="D343" s="63">
        <f>5.4147 * CHOOSE(CONTROL!$C$22, $C$13, 100%, $E$13)</f>
        <v>5.4146999999999998</v>
      </c>
      <c r="E343" s="64">
        <f>6.5523 * CHOOSE(CONTROL!$C$22, $C$13, 100%, $E$13)</f>
        <v>6.5522999999999998</v>
      </c>
      <c r="F343" s="64">
        <f>6.5523 * CHOOSE(CONTROL!$C$22, $C$13, 100%, $E$13)</f>
        <v>6.5522999999999998</v>
      </c>
      <c r="G343" s="64">
        <f>6.5523 * CHOOSE(CONTROL!$C$22, $C$13, 100%, $E$13)</f>
        <v>6.5522999999999998</v>
      </c>
      <c r="H343" s="64">
        <f>11.0164* CHOOSE(CONTROL!$C$22, $C$13, 100%, $E$13)</f>
        <v>11.016400000000001</v>
      </c>
      <c r="I343" s="64">
        <f>11.0165 * CHOOSE(CONTROL!$C$22, $C$13, 100%, $E$13)</f>
        <v>11.016500000000001</v>
      </c>
      <c r="J343" s="64">
        <f>6.5523 * CHOOSE(CONTROL!$C$22, $C$13, 100%, $E$13)</f>
        <v>6.5522999999999998</v>
      </c>
      <c r="K343" s="64">
        <f>6.5523 * CHOOSE(CONTROL!$C$22, $C$13, 100%, $E$13)</f>
        <v>6.5522999999999998</v>
      </c>
    </row>
    <row r="344" spans="1:11" ht="15">
      <c r="A344" s="13">
        <v>51957</v>
      </c>
      <c r="B344" s="63">
        <f>5.4135 * CHOOSE(CONTROL!$C$22, $C$13, 100%, $E$13)</f>
        <v>5.4135</v>
      </c>
      <c r="C344" s="63">
        <f>5.4135 * CHOOSE(CONTROL!$C$22, $C$13, 100%, $E$13)</f>
        <v>5.4135</v>
      </c>
      <c r="D344" s="63">
        <f>5.4135 * CHOOSE(CONTROL!$C$22, $C$13, 100%, $E$13)</f>
        <v>5.4135</v>
      </c>
      <c r="E344" s="64">
        <f>6.6361 * CHOOSE(CONTROL!$C$22, $C$13, 100%, $E$13)</f>
        <v>6.6360999999999999</v>
      </c>
      <c r="F344" s="64">
        <f>6.6361 * CHOOSE(CONTROL!$C$22, $C$13, 100%, $E$13)</f>
        <v>6.6360999999999999</v>
      </c>
      <c r="G344" s="64">
        <f>6.6362 * CHOOSE(CONTROL!$C$22, $C$13, 100%, $E$13)</f>
        <v>6.6361999999999997</v>
      </c>
      <c r="H344" s="64">
        <f>11.0393* CHOOSE(CONTROL!$C$22, $C$13, 100%, $E$13)</f>
        <v>11.039300000000001</v>
      </c>
      <c r="I344" s="64">
        <f>11.0394 * CHOOSE(CONTROL!$C$22, $C$13, 100%, $E$13)</f>
        <v>11.039400000000001</v>
      </c>
      <c r="J344" s="64">
        <f>6.6361 * CHOOSE(CONTROL!$C$22, $C$13, 100%, $E$13)</f>
        <v>6.6360999999999999</v>
      </c>
      <c r="K344" s="64">
        <f>6.6362 * CHOOSE(CONTROL!$C$22, $C$13, 100%, $E$13)</f>
        <v>6.6361999999999997</v>
      </c>
    </row>
    <row r="345" spans="1:11" ht="15">
      <c r="A345" s="13">
        <v>51987</v>
      </c>
      <c r="B345" s="63">
        <f>5.4135 * CHOOSE(CONTROL!$C$22, $C$13, 100%, $E$13)</f>
        <v>5.4135</v>
      </c>
      <c r="C345" s="63">
        <f>5.4135 * CHOOSE(CONTROL!$C$22, $C$13, 100%, $E$13)</f>
        <v>5.4135</v>
      </c>
      <c r="D345" s="63">
        <f>5.4216 * CHOOSE(CONTROL!$C$22, $C$13, 100%, $E$13)</f>
        <v>5.4215999999999998</v>
      </c>
      <c r="E345" s="64">
        <f>6.6691 * CHOOSE(CONTROL!$C$22, $C$13, 100%, $E$13)</f>
        <v>6.6691000000000003</v>
      </c>
      <c r="F345" s="64">
        <f>6.6691 * CHOOSE(CONTROL!$C$22, $C$13, 100%, $E$13)</f>
        <v>6.6691000000000003</v>
      </c>
      <c r="G345" s="64">
        <f>6.6789 * CHOOSE(CONTROL!$C$22, $C$13, 100%, $E$13)</f>
        <v>6.6788999999999996</v>
      </c>
      <c r="H345" s="64">
        <f>11.0623* CHOOSE(CONTROL!$C$22, $C$13, 100%, $E$13)</f>
        <v>11.0623</v>
      </c>
      <c r="I345" s="64">
        <f>11.0722 * CHOOSE(CONTROL!$C$22, $C$13, 100%, $E$13)</f>
        <v>11.0722</v>
      </c>
      <c r="J345" s="64">
        <f>6.6691 * CHOOSE(CONTROL!$C$22, $C$13, 100%, $E$13)</f>
        <v>6.6691000000000003</v>
      </c>
      <c r="K345" s="64">
        <f>6.6789 * CHOOSE(CONTROL!$C$22, $C$13, 100%, $E$13)</f>
        <v>6.6788999999999996</v>
      </c>
    </row>
    <row r="346" spans="1:11" ht="15">
      <c r="A346" s="13">
        <v>52018</v>
      </c>
      <c r="B346" s="63">
        <f>5.4196 * CHOOSE(CONTROL!$C$22, $C$13, 100%, $E$13)</f>
        <v>5.4196</v>
      </c>
      <c r="C346" s="63">
        <f>5.4196 * CHOOSE(CONTROL!$C$22, $C$13, 100%, $E$13)</f>
        <v>5.4196</v>
      </c>
      <c r="D346" s="63">
        <f>5.4277 * CHOOSE(CONTROL!$C$22, $C$13, 100%, $E$13)</f>
        <v>5.4276999999999997</v>
      </c>
      <c r="E346" s="64">
        <f>6.6403 * CHOOSE(CONTROL!$C$22, $C$13, 100%, $E$13)</f>
        <v>6.6402999999999999</v>
      </c>
      <c r="F346" s="64">
        <f>6.6403 * CHOOSE(CONTROL!$C$22, $C$13, 100%, $E$13)</f>
        <v>6.6402999999999999</v>
      </c>
      <c r="G346" s="64">
        <f>6.6501 * CHOOSE(CONTROL!$C$22, $C$13, 100%, $E$13)</f>
        <v>6.6501000000000001</v>
      </c>
      <c r="H346" s="64">
        <f>11.0854* CHOOSE(CONTROL!$C$22, $C$13, 100%, $E$13)</f>
        <v>11.0854</v>
      </c>
      <c r="I346" s="64">
        <f>11.0952 * CHOOSE(CONTROL!$C$22, $C$13, 100%, $E$13)</f>
        <v>11.0952</v>
      </c>
      <c r="J346" s="64">
        <f>6.6403 * CHOOSE(CONTROL!$C$22, $C$13, 100%, $E$13)</f>
        <v>6.6402999999999999</v>
      </c>
      <c r="K346" s="64">
        <f>6.6501 * CHOOSE(CONTROL!$C$22, $C$13, 100%, $E$13)</f>
        <v>6.6501000000000001</v>
      </c>
    </row>
    <row r="347" spans="1:11" ht="15">
      <c r="A347" s="13">
        <v>52048</v>
      </c>
      <c r="B347" s="63">
        <f>5.5082 * CHOOSE(CONTROL!$C$22, $C$13, 100%, $E$13)</f>
        <v>5.5082000000000004</v>
      </c>
      <c r="C347" s="63">
        <f>5.5082 * CHOOSE(CONTROL!$C$22, $C$13, 100%, $E$13)</f>
        <v>5.5082000000000004</v>
      </c>
      <c r="D347" s="63">
        <f>5.5163 * CHOOSE(CONTROL!$C$22, $C$13, 100%, $E$13)</f>
        <v>5.5163000000000002</v>
      </c>
      <c r="E347" s="64">
        <f>6.7527 * CHOOSE(CONTROL!$C$22, $C$13, 100%, $E$13)</f>
        <v>6.7526999999999999</v>
      </c>
      <c r="F347" s="64">
        <f>6.7527 * CHOOSE(CONTROL!$C$22, $C$13, 100%, $E$13)</f>
        <v>6.7526999999999999</v>
      </c>
      <c r="G347" s="64">
        <f>6.7625 * CHOOSE(CONTROL!$C$22, $C$13, 100%, $E$13)</f>
        <v>6.7625000000000002</v>
      </c>
      <c r="H347" s="64">
        <f>11.1085* CHOOSE(CONTROL!$C$22, $C$13, 100%, $E$13)</f>
        <v>11.108499999999999</v>
      </c>
      <c r="I347" s="64">
        <f>11.1183 * CHOOSE(CONTROL!$C$22, $C$13, 100%, $E$13)</f>
        <v>11.1183</v>
      </c>
      <c r="J347" s="64">
        <f>6.7527 * CHOOSE(CONTROL!$C$22, $C$13, 100%, $E$13)</f>
        <v>6.7526999999999999</v>
      </c>
      <c r="K347" s="64">
        <f>6.7625 * CHOOSE(CONTROL!$C$22, $C$13, 100%, $E$13)</f>
        <v>6.7625000000000002</v>
      </c>
    </row>
    <row r="348" spans="1:11" ht="15">
      <c r="A348" s="13">
        <v>52079</v>
      </c>
      <c r="B348" s="63">
        <f>5.5149 * CHOOSE(CONTROL!$C$22, $C$13, 100%, $E$13)</f>
        <v>5.5148999999999999</v>
      </c>
      <c r="C348" s="63">
        <f>5.5149 * CHOOSE(CONTROL!$C$22, $C$13, 100%, $E$13)</f>
        <v>5.5148999999999999</v>
      </c>
      <c r="D348" s="63">
        <f>5.523 * CHOOSE(CONTROL!$C$22, $C$13, 100%, $E$13)</f>
        <v>5.5229999999999997</v>
      </c>
      <c r="E348" s="64">
        <f>6.6583 * CHOOSE(CONTROL!$C$22, $C$13, 100%, $E$13)</f>
        <v>6.6582999999999997</v>
      </c>
      <c r="F348" s="64">
        <f>6.6583 * CHOOSE(CONTROL!$C$22, $C$13, 100%, $E$13)</f>
        <v>6.6582999999999997</v>
      </c>
      <c r="G348" s="64">
        <f>6.6682 * CHOOSE(CONTROL!$C$22, $C$13, 100%, $E$13)</f>
        <v>6.6681999999999997</v>
      </c>
      <c r="H348" s="64">
        <f>11.1316* CHOOSE(CONTROL!$C$22, $C$13, 100%, $E$13)</f>
        <v>11.131600000000001</v>
      </c>
      <c r="I348" s="64">
        <f>11.1414 * CHOOSE(CONTROL!$C$22, $C$13, 100%, $E$13)</f>
        <v>11.141400000000001</v>
      </c>
      <c r="J348" s="64">
        <f>6.6583 * CHOOSE(CONTROL!$C$22, $C$13, 100%, $E$13)</f>
        <v>6.6582999999999997</v>
      </c>
      <c r="K348" s="64">
        <f>6.6682 * CHOOSE(CONTROL!$C$22, $C$13, 100%, $E$13)</f>
        <v>6.6681999999999997</v>
      </c>
    </row>
    <row r="349" spans="1:11" ht="15">
      <c r="A349" s="13">
        <v>52110</v>
      </c>
      <c r="B349" s="63">
        <f>5.5119 * CHOOSE(CONTROL!$C$22, $C$13, 100%, $E$13)</f>
        <v>5.5118999999999998</v>
      </c>
      <c r="C349" s="63">
        <f>5.5119 * CHOOSE(CONTROL!$C$22, $C$13, 100%, $E$13)</f>
        <v>5.5118999999999998</v>
      </c>
      <c r="D349" s="63">
        <f>5.52 * CHOOSE(CONTROL!$C$22, $C$13, 100%, $E$13)</f>
        <v>5.52</v>
      </c>
      <c r="E349" s="64">
        <f>6.6452 * CHOOSE(CONTROL!$C$22, $C$13, 100%, $E$13)</f>
        <v>6.6452</v>
      </c>
      <c r="F349" s="64">
        <f>6.6452 * CHOOSE(CONTROL!$C$22, $C$13, 100%, $E$13)</f>
        <v>6.6452</v>
      </c>
      <c r="G349" s="64">
        <f>6.655 * CHOOSE(CONTROL!$C$22, $C$13, 100%, $E$13)</f>
        <v>6.6550000000000002</v>
      </c>
      <c r="H349" s="64">
        <f>11.1548* CHOOSE(CONTROL!$C$22, $C$13, 100%, $E$13)</f>
        <v>11.1548</v>
      </c>
      <c r="I349" s="64">
        <f>11.1646 * CHOOSE(CONTROL!$C$22, $C$13, 100%, $E$13)</f>
        <v>11.1646</v>
      </c>
      <c r="J349" s="64">
        <f>6.6452 * CHOOSE(CONTROL!$C$22, $C$13, 100%, $E$13)</f>
        <v>6.6452</v>
      </c>
      <c r="K349" s="64">
        <f>6.655 * CHOOSE(CONTROL!$C$22, $C$13, 100%, $E$13)</f>
        <v>6.6550000000000002</v>
      </c>
    </row>
    <row r="350" spans="1:11" ht="15">
      <c r="A350" s="13">
        <v>52140</v>
      </c>
      <c r="B350" s="63">
        <f>5.5119 * CHOOSE(CONTROL!$C$22, $C$13, 100%, $E$13)</f>
        <v>5.5118999999999998</v>
      </c>
      <c r="C350" s="63">
        <f>5.5119 * CHOOSE(CONTROL!$C$22, $C$13, 100%, $E$13)</f>
        <v>5.5118999999999998</v>
      </c>
      <c r="D350" s="63">
        <f>5.5119 * CHOOSE(CONTROL!$C$22, $C$13, 100%, $E$13)</f>
        <v>5.5118999999999998</v>
      </c>
      <c r="E350" s="64">
        <f>6.6758 * CHOOSE(CONTROL!$C$22, $C$13, 100%, $E$13)</f>
        <v>6.6757999999999997</v>
      </c>
      <c r="F350" s="64">
        <f>6.6758 * CHOOSE(CONTROL!$C$22, $C$13, 100%, $E$13)</f>
        <v>6.6757999999999997</v>
      </c>
      <c r="G350" s="64">
        <f>6.6759 * CHOOSE(CONTROL!$C$22, $C$13, 100%, $E$13)</f>
        <v>6.6759000000000004</v>
      </c>
      <c r="H350" s="64">
        <f>11.178* CHOOSE(CONTROL!$C$22, $C$13, 100%, $E$13)</f>
        <v>11.178000000000001</v>
      </c>
      <c r="I350" s="64">
        <f>11.1781 * CHOOSE(CONTROL!$C$22, $C$13, 100%, $E$13)</f>
        <v>11.178100000000001</v>
      </c>
      <c r="J350" s="64">
        <f>6.6758 * CHOOSE(CONTROL!$C$22, $C$13, 100%, $E$13)</f>
        <v>6.6757999999999997</v>
      </c>
      <c r="K350" s="64">
        <f>6.6759 * CHOOSE(CONTROL!$C$22, $C$13, 100%, $E$13)</f>
        <v>6.6759000000000004</v>
      </c>
    </row>
    <row r="351" spans="1:11" ht="15">
      <c r="A351" s="13">
        <v>52171</v>
      </c>
      <c r="B351" s="63">
        <f>5.515 * CHOOSE(CONTROL!$C$22, $C$13, 100%, $E$13)</f>
        <v>5.5149999999999997</v>
      </c>
      <c r="C351" s="63">
        <f>5.515 * CHOOSE(CONTROL!$C$22, $C$13, 100%, $E$13)</f>
        <v>5.5149999999999997</v>
      </c>
      <c r="D351" s="63">
        <f>5.515 * CHOOSE(CONTROL!$C$22, $C$13, 100%, $E$13)</f>
        <v>5.5149999999999997</v>
      </c>
      <c r="E351" s="64">
        <f>6.6999 * CHOOSE(CONTROL!$C$22, $C$13, 100%, $E$13)</f>
        <v>6.6999000000000004</v>
      </c>
      <c r="F351" s="64">
        <f>6.6999 * CHOOSE(CONTROL!$C$22, $C$13, 100%, $E$13)</f>
        <v>6.6999000000000004</v>
      </c>
      <c r="G351" s="64">
        <f>6.7 * CHOOSE(CONTROL!$C$22, $C$13, 100%, $E$13)</f>
        <v>6.7</v>
      </c>
      <c r="H351" s="64">
        <f>11.2013* CHOOSE(CONTROL!$C$22, $C$13, 100%, $E$13)</f>
        <v>11.2013</v>
      </c>
      <c r="I351" s="64">
        <f>11.2014 * CHOOSE(CONTROL!$C$22, $C$13, 100%, $E$13)</f>
        <v>11.2014</v>
      </c>
      <c r="J351" s="64">
        <f>6.6999 * CHOOSE(CONTROL!$C$22, $C$13, 100%, $E$13)</f>
        <v>6.6999000000000004</v>
      </c>
      <c r="K351" s="64">
        <f>6.7 * CHOOSE(CONTROL!$C$22, $C$13, 100%, $E$13)</f>
        <v>6.7</v>
      </c>
    </row>
    <row r="352" spans="1:11" ht="15">
      <c r="A352" s="13">
        <v>52201</v>
      </c>
      <c r="B352" s="63">
        <f>5.515 * CHOOSE(CONTROL!$C$22, $C$13, 100%, $E$13)</f>
        <v>5.5149999999999997</v>
      </c>
      <c r="C352" s="63">
        <f>5.515 * CHOOSE(CONTROL!$C$22, $C$13, 100%, $E$13)</f>
        <v>5.5149999999999997</v>
      </c>
      <c r="D352" s="63">
        <f>5.515 * CHOOSE(CONTROL!$C$22, $C$13, 100%, $E$13)</f>
        <v>5.5149999999999997</v>
      </c>
      <c r="E352" s="64">
        <f>6.6449 * CHOOSE(CONTROL!$C$22, $C$13, 100%, $E$13)</f>
        <v>6.6448999999999998</v>
      </c>
      <c r="F352" s="64">
        <f>6.6449 * CHOOSE(CONTROL!$C$22, $C$13, 100%, $E$13)</f>
        <v>6.6448999999999998</v>
      </c>
      <c r="G352" s="64">
        <f>6.645 * CHOOSE(CONTROL!$C$22, $C$13, 100%, $E$13)</f>
        <v>6.6449999999999996</v>
      </c>
      <c r="H352" s="64">
        <f>11.2247* CHOOSE(CONTROL!$C$22, $C$13, 100%, $E$13)</f>
        <v>11.2247</v>
      </c>
      <c r="I352" s="64">
        <f>11.2247 * CHOOSE(CONTROL!$C$22, $C$13, 100%, $E$13)</f>
        <v>11.2247</v>
      </c>
      <c r="J352" s="64">
        <f>6.6449 * CHOOSE(CONTROL!$C$22, $C$13, 100%, $E$13)</f>
        <v>6.6448999999999998</v>
      </c>
      <c r="K352" s="64">
        <f>6.645 * CHOOSE(CONTROL!$C$22, $C$13, 100%, $E$13)</f>
        <v>6.6449999999999996</v>
      </c>
    </row>
    <row r="353" spans="1:11" ht="15">
      <c r="A353" s="13">
        <v>52232</v>
      </c>
      <c r="B353" s="63">
        <f>5.5637 * CHOOSE(CONTROL!$C$22, $C$13, 100%, $E$13)</f>
        <v>5.5636999999999999</v>
      </c>
      <c r="C353" s="63">
        <f>5.5637 * CHOOSE(CONTROL!$C$22, $C$13, 100%, $E$13)</f>
        <v>5.5636999999999999</v>
      </c>
      <c r="D353" s="63">
        <f>5.5637 * CHOOSE(CONTROL!$C$22, $C$13, 100%, $E$13)</f>
        <v>5.5636999999999999</v>
      </c>
      <c r="E353" s="64">
        <f>6.7392 * CHOOSE(CONTROL!$C$22, $C$13, 100%, $E$13)</f>
        <v>6.7392000000000003</v>
      </c>
      <c r="F353" s="64">
        <f>6.7392 * CHOOSE(CONTROL!$C$22, $C$13, 100%, $E$13)</f>
        <v>6.7392000000000003</v>
      </c>
      <c r="G353" s="64">
        <f>6.7393 * CHOOSE(CONTROL!$C$22, $C$13, 100%, $E$13)</f>
        <v>6.7393000000000001</v>
      </c>
      <c r="H353" s="64">
        <f>11.2481* CHOOSE(CONTROL!$C$22, $C$13, 100%, $E$13)</f>
        <v>11.248100000000001</v>
      </c>
      <c r="I353" s="64">
        <f>11.2481 * CHOOSE(CONTROL!$C$22, $C$13, 100%, $E$13)</f>
        <v>11.248100000000001</v>
      </c>
      <c r="J353" s="64">
        <f>6.7392 * CHOOSE(CONTROL!$C$22, $C$13, 100%, $E$13)</f>
        <v>6.7392000000000003</v>
      </c>
      <c r="K353" s="64">
        <f>6.7393 * CHOOSE(CONTROL!$C$22, $C$13, 100%, $E$13)</f>
        <v>6.7393000000000001</v>
      </c>
    </row>
    <row r="354" spans="1:11" ht="15">
      <c r="A354" s="13">
        <v>52263</v>
      </c>
      <c r="B354" s="63">
        <f>5.5606 * CHOOSE(CONTROL!$C$22, $C$13, 100%, $E$13)</f>
        <v>5.5606</v>
      </c>
      <c r="C354" s="63">
        <f>5.5606 * CHOOSE(CONTROL!$C$22, $C$13, 100%, $E$13)</f>
        <v>5.5606</v>
      </c>
      <c r="D354" s="63">
        <f>5.5606 * CHOOSE(CONTROL!$C$22, $C$13, 100%, $E$13)</f>
        <v>5.5606</v>
      </c>
      <c r="E354" s="64">
        <f>6.6302 * CHOOSE(CONTROL!$C$22, $C$13, 100%, $E$13)</f>
        <v>6.6302000000000003</v>
      </c>
      <c r="F354" s="64">
        <f>6.6302 * CHOOSE(CONTROL!$C$22, $C$13, 100%, $E$13)</f>
        <v>6.6302000000000003</v>
      </c>
      <c r="G354" s="64">
        <f>6.6303 * CHOOSE(CONTROL!$C$22, $C$13, 100%, $E$13)</f>
        <v>6.6303000000000001</v>
      </c>
      <c r="H354" s="64">
        <f>11.2715* CHOOSE(CONTROL!$C$22, $C$13, 100%, $E$13)</f>
        <v>11.2715</v>
      </c>
      <c r="I354" s="64">
        <f>11.2716 * CHOOSE(CONTROL!$C$22, $C$13, 100%, $E$13)</f>
        <v>11.271599999999999</v>
      </c>
      <c r="J354" s="64">
        <f>6.6302 * CHOOSE(CONTROL!$C$22, $C$13, 100%, $E$13)</f>
        <v>6.6302000000000003</v>
      </c>
      <c r="K354" s="64">
        <f>6.6303 * CHOOSE(CONTROL!$C$22, $C$13, 100%, $E$13)</f>
        <v>6.6303000000000001</v>
      </c>
    </row>
    <row r="355" spans="1:11" ht="15">
      <c r="A355" s="13">
        <v>52291</v>
      </c>
      <c r="B355" s="63">
        <f>5.5576 * CHOOSE(CONTROL!$C$22, $C$13, 100%, $E$13)</f>
        <v>5.5575999999999999</v>
      </c>
      <c r="C355" s="63">
        <f>5.5576 * CHOOSE(CONTROL!$C$22, $C$13, 100%, $E$13)</f>
        <v>5.5575999999999999</v>
      </c>
      <c r="D355" s="63">
        <f>5.5576 * CHOOSE(CONTROL!$C$22, $C$13, 100%, $E$13)</f>
        <v>5.5575999999999999</v>
      </c>
      <c r="E355" s="64">
        <f>6.7123 * CHOOSE(CONTROL!$C$22, $C$13, 100%, $E$13)</f>
        <v>6.7122999999999999</v>
      </c>
      <c r="F355" s="64">
        <f>6.7123 * CHOOSE(CONTROL!$C$22, $C$13, 100%, $E$13)</f>
        <v>6.7122999999999999</v>
      </c>
      <c r="G355" s="64">
        <f>6.7124 * CHOOSE(CONTROL!$C$22, $C$13, 100%, $E$13)</f>
        <v>6.7123999999999997</v>
      </c>
      <c r="H355" s="64">
        <f>11.295* CHOOSE(CONTROL!$C$22, $C$13, 100%, $E$13)</f>
        <v>11.295</v>
      </c>
      <c r="I355" s="64">
        <f>11.295 * CHOOSE(CONTROL!$C$22, $C$13, 100%, $E$13)</f>
        <v>11.295</v>
      </c>
      <c r="J355" s="64">
        <f>6.7123 * CHOOSE(CONTROL!$C$22, $C$13, 100%, $E$13)</f>
        <v>6.7122999999999999</v>
      </c>
      <c r="K355" s="64">
        <f>6.7124 * CHOOSE(CONTROL!$C$22, $C$13, 100%, $E$13)</f>
        <v>6.7123999999999997</v>
      </c>
    </row>
    <row r="356" spans="1:11" ht="15">
      <c r="A356" s="13">
        <v>52322</v>
      </c>
      <c r="B356" s="63">
        <f>5.5566 * CHOOSE(CONTROL!$C$22, $C$13, 100%, $E$13)</f>
        <v>5.5566000000000004</v>
      </c>
      <c r="C356" s="63">
        <f>5.5566 * CHOOSE(CONTROL!$C$22, $C$13, 100%, $E$13)</f>
        <v>5.5566000000000004</v>
      </c>
      <c r="D356" s="63">
        <f>5.5566 * CHOOSE(CONTROL!$C$22, $C$13, 100%, $E$13)</f>
        <v>5.5566000000000004</v>
      </c>
      <c r="E356" s="64">
        <f>6.7986 * CHOOSE(CONTROL!$C$22, $C$13, 100%, $E$13)</f>
        <v>6.7986000000000004</v>
      </c>
      <c r="F356" s="64">
        <f>6.7986 * CHOOSE(CONTROL!$C$22, $C$13, 100%, $E$13)</f>
        <v>6.7986000000000004</v>
      </c>
      <c r="G356" s="64">
        <f>6.7987 * CHOOSE(CONTROL!$C$22, $C$13, 100%, $E$13)</f>
        <v>6.7987000000000002</v>
      </c>
      <c r="H356" s="64">
        <f>11.3185* CHOOSE(CONTROL!$C$22, $C$13, 100%, $E$13)</f>
        <v>11.3185</v>
      </c>
      <c r="I356" s="64">
        <f>11.3186 * CHOOSE(CONTROL!$C$22, $C$13, 100%, $E$13)</f>
        <v>11.3186</v>
      </c>
      <c r="J356" s="64">
        <f>6.7986 * CHOOSE(CONTROL!$C$22, $C$13, 100%, $E$13)</f>
        <v>6.7986000000000004</v>
      </c>
      <c r="K356" s="64">
        <f>6.7987 * CHOOSE(CONTROL!$C$22, $C$13, 100%, $E$13)</f>
        <v>6.7987000000000002</v>
      </c>
    </row>
    <row r="357" spans="1:11" ht="15">
      <c r="A357" s="13">
        <v>52352</v>
      </c>
      <c r="B357" s="63">
        <f>5.5566 * CHOOSE(CONTROL!$C$22, $C$13, 100%, $E$13)</f>
        <v>5.5566000000000004</v>
      </c>
      <c r="C357" s="63">
        <f>5.5566 * CHOOSE(CONTROL!$C$22, $C$13, 100%, $E$13)</f>
        <v>5.5566000000000004</v>
      </c>
      <c r="D357" s="63">
        <f>5.5647 * CHOOSE(CONTROL!$C$22, $C$13, 100%, $E$13)</f>
        <v>5.5647000000000002</v>
      </c>
      <c r="E357" s="64">
        <f>6.8326 * CHOOSE(CONTROL!$C$22, $C$13, 100%, $E$13)</f>
        <v>6.8326000000000002</v>
      </c>
      <c r="F357" s="64">
        <f>6.8326 * CHOOSE(CONTROL!$C$22, $C$13, 100%, $E$13)</f>
        <v>6.8326000000000002</v>
      </c>
      <c r="G357" s="64">
        <f>6.8424 * CHOOSE(CONTROL!$C$22, $C$13, 100%, $E$13)</f>
        <v>6.8423999999999996</v>
      </c>
      <c r="H357" s="64">
        <f>11.3421* CHOOSE(CONTROL!$C$22, $C$13, 100%, $E$13)</f>
        <v>11.3421</v>
      </c>
      <c r="I357" s="64">
        <f>11.3519 * CHOOSE(CONTROL!$C$22, $C$13, 100%, $E$13)</f>
        <v>11.351900000000001</v>
      </c>
      <c r="J357" s="64">
        <f>6.8326 * CHOOSE(CONTROL!$C$22, $C$13, 100%, $E$13)</f>
        <v>6.8326000000000002</v>
      </c>
      <c r="K357" s="64">
        <f>6.8424 * CHOOSE(CONTROL!$C$22, $C$13, 100%, $E$13)</f>
        <v>6.8423999999999996</v>
      </c>
    </row>
    <row r="358" spans="1:11" ht="15">
      <c r="A358" s="13">
        <v>52383</v>
      </c>
      <c r="B358" s="63">
        <f>5.5627 * CHOOSE(CONTROL!$C$22, $C$13, 100%, $E$13)</f>
        <v>5.5627000000000004</v>
      </c>
      <c r="C358" s="63">
        <f>5.5627 * CHOOSE(CONTROL!$C$22, $C$13, 100%, $E$13)</f>
        <v>5.5627000000000004</v>
      </c>
      <c r="D358" s="63">
        <f>5.5708 * CHOOSE(CONTROL!$C$22, $C$13, 100%, $E$13)</f>
        <v>5.5708000000000002</v>
      </c>
      <c r="E358" s="64">
        <f>6.8029 * CHOOSE(CONTROL!$C$22, $C$13, 100%, $E$13)</f>
        <v>6.8029000000000002</v>
      </c>
      <c r="F358" s="64">
        <f>6.8029 * CHOOSE(CONTROL!$C$22, $C$13, 100%, $E$13)</f>
        <v>6.8029000000000002</v>
      </c>
      <c r="G358" s="64">
        <f>6.8127 * CHOOSE(CONTROL!$C$22, $C$13, 100%, $E$13)</f>
        <v>6.8127000000000004</v>
      </c>
      <c r="H358" s="64">
        <f>11.3657* CHOOSE(CONTROL!$C$22, $C$13, 100%, $E$13)</f>
        <v>11.3657</v>
      </c>
      <c r="I358" s="64">
        <f>11.3755 * CHOOSE(CONTROL!$C$22, $C$13, 100%, $E$13)</f>
        <v>11.375500000000001</v>
      </c>
      <c r="J358" s="64">
        <f>6.8029 * CHOOSE(CONTROL!$C$22, $C$13, 100%, $E$13)</f>
        <v>6.8029000000000002</v>
      </c>
      <c r="K358" s="64">
        <f>6.8127 * CHOOSE(CONTROL!$C$22, $C$13, 100%, $E$13)</f>
        <v>6.8127000000000004</v>
      </c>
    </row>
    <row r="359" spans="1:11" ht="15">
      <c r="A359" s="13">
        <v>52413</v>
      </c>
      <c r="B359" s="63">
        <f>5.6532 * CHOOSE(CONTROL!$C$22, $C$13, 100%, $E$13)</f>
        <v>5.6532</v>
      </c>
      <c r="C359" s="63">
        <f>5.6532 * CHOOSE(CONTROL!$C$22, $C$13, 100%, $E$13)</f>
        <v>5.6532</v>
      </c>
      <c r="D359" s="63">
        <f>5.6613 * CHOOSE(CONTROL!$C$22, $C$13, 100%, $E$13)</f>
        <v>5.6612999999999998</v>
      </c>
      <c r="E359" s="64">
        <f>6.9177 * CHOOSE(CONTROL!$C$22, $C$13, 100%, $E$13)</f>
        <v>6.9177</v>
      </c>
      <c r="F359" s="64">
        <f>6.9177 * CHOOSE(CONTROL!$C$22, $C$13, 100%, $E$13)</f>
        <v>6.9177</v>
      </c>
      <c r="G359" s="64">
        <f>6.9275 * CHOOSE(CONTROL!$C$22, $C$13, 100%, $E$13)</f>
        <v>6.9275000000000002</v>
      </c>
      <c r="H359" s="64">
        <f>11.3894* CHOOSE(CONTROL!$C$22, $C$13, 100%, $E$13)</f>
        <v>11.3894</v>
      </c>
      <c r="I359" s="64">
        <f>11.3992 * CHOOSE(CONTROL!$C$22, $C$13, 100%, $E$13)</f>
        <v>11.3992</v>
      </c>
      <c r="J359" s="64">
        <f>6.9177 * CHOOSE(CONTROL!$C$22, $C$13, 100%, $E$13)</f>
        <v>6.9177</v>
      </c>
      <c r="K359" s="64">
        <f>6.9275 * CHOOSE(CONTROL!$C$22, $C$13, 100%, $E$13)</f>
        <v>6.9275000000000002</v>
      </c>
    </row>
    <row r="360" spans="1:11" ht="15">
      <c r="A360" s="13">
        <v>52444</v>
      </c>
      <c r="B360" s="63">
        <f>5.6599 * CHOOSE(CONTROL!$C$22, $C$13, 100%, $E$13)</f>
        <v>5.6599000000000004</v>
      </c>
      <c r="C360" s="63">
        <f>5.6599 * CHOOSE(CONTROL!$C$22, $C$13, 100%, $E$13)</f>
        <v>5.6599000000000004</v>
      </c>
      <c r="D360" s="63">
        <f>5.668 * CHOOSE(CONTROL!$C$22, $C$13, 100%, $E$13)</f>
        <v>5.6680000000000001</v>
      </c>
      <c r="E360" s="64">
        <f>6.8205 * CHOOSE(CONTROL!$C$22, $C$13, 100%, $E$13)</f>
        <v>6.8205</v>
      </c>
      <c r="F360" s="64">
        <f>6.8205 * CHOOSE(CONTROL!$C$22, $C$13, 100%, $E$13)</f>
        <v>6.8205</v>
      </c>
      <c r="G360" s="64">
        <f>6.8303 * CHOOSE(CONTROL!$C$22, $C$13, 100%, $E$13)</f>
        <v>6.8303000000000003</v>
      </c>
      <c r="H360" s="64">
        <f>11.4131* CHOOSE(CONTROL!$C$22, $C$13, 100%, $E$13)</f>
        <v>11.4131</v>
      </c>
      <c r="I360" s="64">
        <f>11.4229 * CHOOSE(CONTROL!$C$22, $C$13, 100%, $E$13)</f>
        <v>11.4229</v>
      </c>
      <c r="J360" s="64">
        <f>6.8205 * CHOOSE(CONTROL!$C$22, $C$13, 100%, $E$13)</f>
        <v>6.8205</v>
      </c>
      <c r="K360" s="64">
        <f>6.8303 * CHOOSE(CONTROL!$C$22, $C$13, 100%, $E$13)</f>
        <v>6.8303000000000003</v>
      </c>
    </row>
    <row r="361" spans="1:11" ht="15">
      <c r="A361" s="13">
        <v>52475</v>
      </c>
      <c r="B361" s="63">
        <f>5.6569 * CHOOSE(CONTROL!$C$22, $C$13, 100%, $E$13)</f>
        <v>5.6569000000000003</v>
      </c>
      <c r="C361" s="63">
        <f>5.6569 * CHOOSE(CONTROL!$C$22, $C$13, 100%, $E$13)</f>
        <v>5.6569000000000003</v>
      </c>
      <c r="D361" s="63">
        <f>5.665 * CHOOSE(CONTROL!$C$22, $C$13, 100%, $E$13)</f>
        <v>5.665</v>
      </c>
      <c r="E361" s="64">
        <f>6.8071 * CHOOSE(CONTROL!$C$22, $C$13, 100%, $E$13)</f>
        <v>6.8071000000000002</v>
      </c>
      <c r="F361" s="64">
        <f>6.8071 * CHOOSE(CONTROL!$C$22, $C$13, 100%, $E$13)</f>
        <v>6.8071000000000002</v>
      </c>
      <c r="G361" s="64">
        <f>6.8169 * CHOOSE(CONTROL!$C$22, $C$13, 100%, $E$13)</f>
        <v>6.8169000000000004</v>
      </c>
      <c r="H361" s="64">
        <f>11.4369* CHOOSE(CONTROL!$C$22, $C$13, 100%, $E$13)</f>
        <v>11.4369</v>
      </c>
      <c r="I361" s="64">
        <f>11.4467 * CHOOSE(CONTROL!$C$22, $C$13, 100%, $E$13)</f>
        <v>11.4467</v>
      </c>
      <c r="J361" s="64">
        <f>6.8071 * CHOOSE(CONTROL!$C$22, $C$13, 100%, $E$13)</f>
        <v>6.8071000000000002</v>
      </c>
      <c r="K361" s="64">
        <f>6.8169 * CHOOSE(CONTROL!$C$22, $C$13, 100%, $E$13)</f>
        <v>6.8169000000000004</v>
      </c>
    </row>
    <row r="362" spans="1:11" ht="15">
      <c r="A362" s="13">
        <v>52505</v>
      </c>
      <c r="B362" s="63">
        <f>5.6574 * CHOOSE(CONTROL!$C$22, $C$13, 100%, $E$13)</f>
        <v>5.6574</v>
      </c>
      <c r="C362" s="63">
        <f>5.6574 * CHOOSE(CONTROL!$C$22, $C$13, 100%, $E$13)</f>
        <v>5.6574</v>
      </c>
      <c r="D362" s="63">
        <f>5.6574 * CHOOSE(CONTROL!$C$22, $C$13, 100%, $E$13)</f>
        <v>5.6574</v>
      </c>
      <c r="E362" s="64">
        <f>6.8389 * CHOOSE(CONTROL!$C$22, $C$13, 100%, $E$13)</f>
        <v>6.8388999999999998</v>
      </c>
      <c r="F362" s="64">
        <f>6.8389 * CHOOSE(CONTROL!$C$22, $C$13, 100%, $E$13)</f>
        <v>6.8388999999999998</v>
      </c>
      <c r="G362" s="64">
        <f>6.839 * CHOOSE(CONTROL!$C$22, $C$13, 100%, $E$13)</f>
        <v>6.8390000000000004</v>
      </c>
      <c r="H362" s="64">
        <f>11.4607* CHOOSE(CONTROL!$C$22, $C$13, 100%, $E$13)</f>
        <v>11.460699999999999</v>
      </c>
      <c r="I362" s="64">
        <f>11.4608 * CHOOSE(CONTROL!$C$22, $C$13, 100%, $E$13)</f>
        <v>11.460800000000001</v>
      </c>
      <c r="J362" s="64">
        <f>6.8389 * CHOOSE(CONTROL!$C$22, $C$13, 100%, $E$13)</f>
        <v>6.8388999999999998</v>
      </c>
      <c r="K362" s="64">
        <f>6.839 * CHOOSE(CONTROL!$C$22, $C$13, 100%, $E$13)</f>
        <v>6.8390000000000004</v>
      </c>
    </row>
    <row r="363" spans="1:11" ht="15">
      <c r="A363" s="13">
        <v>52536</v>
      </c>
      <c r="B363" s="63">
        <f>5.6605 * CHOOSE(CONTROL!$C$22, $C$13, 100%, $E$13)</f>
        <v>5.6604999999999999</v>
      </c>
      <c r="C363" s="63">
        <f>5.6605 * CHOOSE(CONTROL!$C$22, $C$13, 100%, $E$13)</f>
        <v>5.6604999999999999</v>
      </c>
      <c r="D363" s="63">
        <f>5.6605 * CHOOSE(CONTROL!$C$22, $C$13, 100%, $E$13)</f>
        <v>5.6604999999999999</v>
      </c>
      <c r="E363" s="64">
        <f>6.8636 * CHOOSE(CONTROL!$C$22, $C$13, 100%, $E$13)</f>
        <v>6.8635999999999999</v>
      </c>
      <c r="F363" s="64">
        <f>6.8636 * CHOOSE(CONTROL!$C$22, $C$13, 100%, $E$13)</f>
        <v>6.8635999999999999</v>
      </c>
      <c r="G363" s="64">
        <f>6.8637 * CHOOSE(CONTROL!$C$22, $C$13, 100%, $E$13)</f>
        <v>6.8636999999999997</v>
      </c>
      <c r="H363" s="64">
        <f>11.4846* CHOOSE(CONTROL!$C$22, $C$13, 100%, $E$13)</f>
        <v>11.4846</v>
      </c>
      <c r="I363" s="64">
        <f>11.4847 * CHOOSE(CONTROL!$C$22, $C$13, 100%, $E$13)</f>
        <v>11.4847</v>
      </c>
      <c r="J363" s="64">
        <f>6.8636 * CHOOSE(CONTROL!$C$22, $C$13, 100%, $E$13)</f>
        <v>6.8635999999999999</v>
      </c>
      <c r="K363" s="64">
        <f>6.8637 * CHOOSE(CONTROL!$C$22, $C$13, 100%, $E$13)</f>
        <v>6.8636999999999997</v>
      </c>
    </row>
    <row r="364" spans="1:11" ht="15">
      <c r="A364" s="13">
        <v>52566</v>
      </c>
      <c r="B364" s="63">
        <f>5.6605 * CHOOSE(CONTROL!$C$22, $C$13, 100%, $E$13)</f>
        <v>5.6604999999999999</v>
      </c>
      <c r="C364" s="63">
        <f>5.6605 * CHOOSE(CONTROL!$C$22, $C$13, 100%, $E$13)</f>
        <v>5.6604999999999999</v>
      </c>
      <c r="D364" s="63">
        <f>5.6605 * CHOOSE(CONTROL!$C$22, $C$13, 100%, $E$13)</f>
        <v>5.6604999999999999</v>
      </c>
      <c r="E364" s="64">
        <f>6.8071 * CHOOSE(CONTROL!$C$22, $C$13, 100%, $E$13)</f>
        <v>6.8071000000000002</v>
      </c>
      <c r="F364" s="64">
        <f>6.8071 * CHOOSE(CONTROL!$C$22, $C$13, 100%, $E$13)</f>
        <v>6.8071000000000002</v>
      </c>
      <c r="G364" s="64">
        <f>6.8072 * CHOOSE(CONTROL!$C$22, $C$13, 100%, $E$13)</f>
        <v>6.8071999999999999</v>
      </c>
      <c r="H364" s="64">
        <f>11.5085* CHOOSE(CONTROL!$C$22, $C$13, 100%, $E$13)</f>
        <v>11.5085</v>
      </c>
      <c r="I364" s="64">
        <f>11.5086 * CHOOSE(CONTROL!$C$22, $C$13, 100%, $E$13)</f>
        <v>11.508599999999999</v>
      </c>
      <c r="J364" s="64">
        <f>6.8071 * CHOOSE(CONTROL!$C$22, $C$13, 100%, $E$13)</f>
        <v>6.8071000000000002</v>
      </c>
      <c r="K364" s="64">
        <f>6.8072 * CHOOSE(CONTROL!$C$22, $C$13, 100%, $E$13)</f>
        <v>6.8071999999999999</v>
      </c>
    </row>
    <row r="365" spans="1:11" ht="15">
      <c r="A365" s="13">
        <v>52597</v>
      </c>
      <c r="B365" s="63">
        <f>5.7103 * CHOOSE(CONTROL!$C$22, $C$13, 100%, $E$13)</f>
        <v>5.7103000000000002</v>
      </c>
      <c r="C365" s="63">
        <f>5.7103 * CHOOSE(CONTROL!$C$22, $C$13, 100%, $E$13)</f>
        <v>5.7103000000000002</v>
      </c>
      <c r="D365" s="63">
        <f>5.7103 * CHOOSE(CONTROL!$C$22, $C$13, 100%, $E$13)</f>
        <v>5.7103000000000002</v>
      </c>
      <c r="E365" s="64">
        <f>6.9038 * CHOOSE(CONTROL!$C$22, $C$13, 100%, $E$13)</f>
        <v>6.9038000000000004</v>
      </c>
      <c r="F365" s="64">
        <f>6.9038 * CHOOSE(CONTROL!$C$22, $C$13, 100%, $E$13)</f>
        <v>6.9038000000000004</v>
      </c>
      <c r="G365" s="64">
        <f>6.9039 * CHOOSE(CONTROL!$C$22, $C$13, 100%, $E$13)</f>
        <v>6.9039000000000001</v>
      </c>
      <c r="H365" s="64">
        <f>11.5325* CHOOSE(CONTROL!$C$22, $C$13, 100%, $E$13)</f>
        <v>11.532500000000001</v>
      </c>
      <c r="I365" s="64">
        <f>11.5326 * CHOOSE(CONTROL!$C$22, $C$13, 100%, $E$13)</f>
        <v>11.5326</v>
      </c>
      <c r="J365" s="64">
        <f>6.9038 * CHOOSE(CONTROL!$C$22, $C$13, 100%, $E$13)</f>
        <v>6.9038000000000004</v>
      </c>
      <c r="K365" s="64">
        <f>6.9039 * CHOOSE(CONTROL!$C$22, $C$13, 100%, $E$13)</f>
        <v>6.9039000000000001</v>
      </c>
    </row>
    <row r="366" spans="1:11" ht="15">
      <c r="A366" s="13">
        <v>52628</v>
      </c>
      <c r="B366" s="63">
        <f>5.7073 * CHOOSE(CONTROL!$C$22, $C$13, 100%, $E$13)</f>
        <v>5.7073</v>
      </c>
      <c r="C366" s="63">
        <f>5.7073 * CHOOSE(CONTROL!$C$22, $C$13, 100%, $E$13)</f>
        <v>5.7073</v>
      </c>
      <c r="D366" s="63">
        <f>5.7073 * CHOOSE(CONTROL!$C$22, $C$13, 100%, $E$13)</f>
        <v>5.7073</v>
      </c>
      <c r="E366" s="64">
        <f>6.7917 * CHOOSE(CONTROL!$C$22, $C$13, 100%, $E$13)</f>
        <v>6.7916999999999996</v>
      </c>
      <c r="F366" s="64">
        <f>6.7917 * CHOOSE(CONTROL!$C$22, $C$13, 100%, $E$13)</f>
        <v>6.7916999999999996</v>
      </c>
      <c r="G366" s="64">
        <f>6.7918 * CHOOSE(CONTROL!$C$22, $C$13, 100%, $E$13)</f>
        <v>6.7918000000000003</v>
      </c>
      <c r="H366" s="64">
        <f>11.5565* CHOOSE(CONTROL!$C$22, $C$13, 100%, $E$13)</f>
        <v>11.5565</v>
      </c>
      <c r="I366" s="64">
        <f>11.5566 * CHOOSE(CONTROL!$C$22, $C$13, 100%, $E$13)</f>
        <v>11.5566</v>
      </c>
      <c r="J366" s="64">
        <f>6.7917 * CHOOSE(CONTROL!$C$22, $C$13, 100%, $E$13)</f>
        <v>6.7916999999999996</v>
      </c>
      <c r="K366" s="64">
        <f>6.7918 * CHOOSE(CONTROL!$C$22, $C$13, 100%, $E$13)</f>
        <v>6.7918000000000003</v>
      </c>
    </row>
    <row r="367" spans="1:11" ht="15">
      <c r="A367" s="13">
        <v>52657</v>
      </c>
      <c r="B367" s="63">
        <f>5.7042 * CHOOSE(CONTROL!$C$22, $C$13, 100%, $E$13)</f>
        <v>5.7042000000000002</v>
      </c>
      <c r="C367" s="63">
        <f>5.7042 * CHOOSE(CONTROL!$C$22, $C$13, 100%, $E$13)</f>
        <v>5.7042000000000002</v>
      </c>
      <c r="D367" s="63">
        <f>5.7042 * CHOOSE(CONTROL!$C$22, $C$13, 100%, $E$13)</f>
        <v>5.7042000000000002</v>
      </c>
      <c r="E367" s="64">
        <f>6.8763 * CHOOSE(CONTROL!$C$22, $C$13, 100%, $E$13)</f>
        <v>6.8762999999999996</v>
      </c>
      <c r="F367" s="64">
        <f>6.8763 * CHOOSE(CONTROL!$C$22, $C$13, 100%, $E$13)</f>
        <v>6.8762999999999996</v>
      </c>
      <c r="G367" s="64">
        <f>6.8764 * CHOOSE(CONTROL!$C$22, $C$13, 100%, $E$13)</f>
        <v>6.8764000000000003</v>
      </c>
      <c r="H367" s="64">
        <f>11.5806* CHOOSE(CONTROL!$C$22, $C$13, 100%, $E$13)</f>
        <v>11.5806</v>
      </c>
      <c r="I367" s="64">
        <f>11.5807 * CHOOSE(CONTROL!$C$22, $C$13, 100%, $E$13)</f>
        <v>11.5807</v>
      </c>
      <c r="J367" s="64">
        <f>6.8763 * CHOOSE(CONTROL!$C$22, $C$13, 100%, $E$13)</f>
        <v>6.8762999999999996</v>
      </c>
      <c r="K367" s="64">
        <f>6.8764 * CHOOSE(CONTROL!$C$22, $C$13, 100%, $E$13)</f>
        <v>6.8764000000000003</v>
      </c>
    </row>
    <row r="368" spans="1:11" ht="15">
      <c r="A368" s="13">
        <v>52688</v>
      </c>
      <c r="B368" s="63">
        <f>5.7034 * CHOOSE(CONTROL!$C$22, $C$13, 100%, $E$13)</f>
        <v>5.7034000000000002</v>
      </c>
      <c r="C368" s="63">
        <f>5.7034 * CHOOSE(CONTROL!$C$22, $C$13, 100%, $E$13)</f>
        <v>5.7034000000000002</v>
      </c>
      <c r="D368" s="63">
        <f>5.7034 * CHOOSE(CONTROL!$C$22, $C$13, 100%, $E$13)</f>
        <v>5.7034000000000002</v>
      </c>
      <c r="E368" s="64">
        <f>6.9651 * CHOOSE(CONTROL!$C$22, $C$13, 100%, $E$13)</f>
        <v>6.9650999999999996</v>
      </c>
      <c r="F368" s="64">
        <f>6.9651 * CHOOSE(CONTROL!$C$22, $C$13, 100%, $E$13)</f>
        <v>6.9650999999999996</v>
      </c>
      <c r="G368" s="64">
        <f>6.9652 * CHOOSE(CONTROL!$C$22, $C$13, 100%, $E$13)</f>
        <v>6.9652000000000003</v>
      </c>
      <c r="H368" s="64">
        <f>11.6047* CHOOSE(CONTROL!$C$22, $C$13, 100%, $E$13)</f>
        <v>11.604699999999999</v>
      </c>
      <c r="I368" s="64">
        <f>11.6048 * CHOOSE(CONTROL!$C$22, $C$13, 100%, $E$13)</f>
        <v>11.604799999999999</v>
      </c>
      <c r="J368" s="64">
        <f>6.9651 * CHOOSE(CONTROL!$C$22, $C$13, 100%, $E$13)</f>
        <v>6.9650999999999996</v>
      </c>
      <c r="K368" s="64">
        <f>6.9652 * CHOOSE(CONTROL!$C$22, $C$13, 100%, $E$13)</f>
        <v>6.9652000000000003</v>
      </c>
    </row>
    <row r="369" spans="1:11" ht="15">
      <c r="A369" s="13">
        <v>52718</v>
      </c>
      <c r="B369" s="63">
        <f>5.7034 * CHOOSE(CONTROL!$C$22, $C$13, 100%, $E$13)</f>
        <v>5.7034000000000002</v>
      </c>
      <c r="C369" s="63">
        <f>5.7034 * CHOOSE(CONTROL!$C$22, $C$13, 100%, $E$13)</f>
        <v>5.7034000000000002</v>
      </c>
      <c r="D369" s="63">
        <f>5.7115 * CHOOSE(CONTROL!$C$22, $C$13, 100%, $E$13)</f>
        <v>5.7115</v>
      </c>
      <c r="E369" s="64">
        <f>7 * CHOOSE(CONTROL!$C$22, $C$13, 100%, $E$13)</f>
        <v>7</v>
      </c>
      <c r="F369" s="64">
        <f>7 * CHOOSE(CONTROL!$C$22, $C$13, 100%, $E$13)</f>
        <v>7</v>
      </c>
      <c r="G369" s="64">
        <f>7.0098 * CHOOSE(CONTROL!$C$22, $C$13, 100%, $E$13)</f>
        <v>7.0098000000000003</v>
      </c>
      <c r="H369" s="64">
        <f>11.6289* CHOOSE(CONTROL!$C$22, $C$13, 100%, $E$13)</f>
        <v>11.6289</v>
      </c>
      <c r="I369" s="64">
        <f>11.6387 * CHOOSE(CONTROL!$C$22, $C$13, 100%, $E$13)</f>
        <v>11.6387</v>
      </c>
      <c r="J369" s="64">
        <f>7 * CHOOSE(CONTROL!$C$22, $C$13, 100%, $E$13)</f>
        <v>7</v>
      </c>
      <c r="K369" s="64">
        <f>7.0098 * CHOOSE(CONTROL!$C$22, $C$13, 100%, $E$13)</f>
        <v>7.0098000000000003</v>
      </c>
    </row>
    <row r="370" spans="1:11" ht="15">
      <c r="A370" s="13">
        <v>52749</v>
      </c>
      <c r="B370" s="63">
        <f>5.7094 * CHOOSE(CONTROL!$C$22, $C$13, 100%, $E$13)</f>
        <v>5.7093999999999996</v>
      </c>
      <c r="C370" s="63">
        <f>5.7094 * CHOOSE(CONTROL!$C$22, $C$13, 100%, $E$13)</f>
        <v>5.7093999999999996</v>
      </c>
      <c r="D370" s="63">
        <f>5.7176 * CHOOSE(CONTROL!$C$22, $C$13, 100%, $E$13)</f>
        <v>5.7176</v>
      </c>
      <c r="E370" s="64">
        <f>6.9693 * CHOOSE(CONTROL!$C$22, $C$13, 100%, $E$13)</f>
        <v>6.9692999999999996</v>
      </c>
      <c r="F370" s="64">
        <f>6.9693 * CHOOSE(CONTROL!$C$22, $C$13, 100%, $E$13)</f>
        <v>6.9692999999999996</v>
      </c>
      <c r="G370" s="64">
        <f>6.9792 * CHOOSE(CONTROL!$C$22, $C$13, 100%, $E$13)</f>
        <v>6.9791999999999996</v>
      </c>
      <c r="H370" s="64">
        <f>11.6531* CHOOSE(CONTROL!$C$22, $C$13, 100%, $E$13)</f>
        <v>11.6531</v>
      </c>
      <c r="I370" s="64">
        <f>11.663 * CHOOSE(CONTROL!$C$22, $C$13, 100%, $E$13)</f>
        <v>11.663</v>
      </c>
      <c r="J370" s="64">
        <f>6.9693 * CHOOSE(CONTROL!$C$22, $C$13, 100%, $E$13)</f>
        <v>6.9692999999999996</v>
      </c>
      <c r="K370" s="64">
        <f>6.9792 * CHOOSE(CONTROL!$C$22, $C$13, 100%, $E$13)</f>
        <v>6.9791999999999996</v>
      </c>
    </row>
    <row r="371" spans="1:11" ht="15">
      <c r="A371" s="13">
        <v>52779</v>
      </c>
      <c r="B371" s="63">
        <f>5.8021 * CHOOSE(CONTROL!$C$22, $C$13, 100%, $E$13)</f>
        <v>5.8021000000000003</v>
      </c>
      <c r="C371" s="63">
        <f>5.8021 * CHOOSE(CONTROL!$C$22, $C$13, 100%, $E$13)</f>
        <v>5.8021000000000003</v>
      </c>
      <c r="D371" s="63">
        <f>5.8102 * CHOOSE(CONTROL!$C$22, $C$13, 100%, $E$13)</f>
        <v>5.8102</v>
      </c>
      <c r="E371" s="64">
        <f>7.0867 * CHOOSE(CONTROL!$C$22, $C$13, 100%, $E$13)</f>
        <v>7.0867000000000004</v>
      </c>
      <c r="F371" s="64">
        <f>7.0867 * CHOOSE(CONTROL!$C$22, $C$13, 100%, $E$13)</f>
        <v>7.0867000000000004</v>
      </c>
      <c r="G371" s="64">
        <f>7.0966 * CHOOSE(CONTROL!$C$22, $C$13, 100%, $E$13)</f>
        <v>7.0965999999999996</v>
      </c>
      <c r="H371" s="64">
        <f>11.6774* CHOOSE(CONTROL!$C$22, $C$13, 100%, $E$13)</f>
        <v>11.6774</v>
      </c>
      <c r="I371" s="64">
        <f>11.6872 * CHOOSE(CONTROL!$C$22, $C$13, 100%, $E$13)</f>
        <v>11.687200000000001</v>
      </c>
      <c r="J371" s="64">
        <f>7.0867 * CHOOSE(CONTROL!$C$22, $C$13, 100%, $E$13)</f>
        <v>7.0867000000000004</v>
      </c>
      <c r="K371" s="64">
        <f>7.0966 * CHOOSE(CONTROL!$C$22, $C$13, 100%, $E$13)</f>
        <v>7.0965999999999996</v>
      </c>
    </row>
    <row r="372" spans="1:11" ht="15">
      <c r="A372" s="13">
        <v>52810</v>
      </c>
      <c r="B372" s="63">
        <f>5.8088 * CHOOSE(CONTROL!$C$22, $C$13, 100%, $E$13)</f>
        <v>5.8087999999999997</v>
      </c>
      <c r="C372" s="63">
        <f>5.8088 * CHOOSE(CONTROL!$C$22, $C$13, 100%, $E$13)</f>
        <v>5.8087999999999997</v>
      </c>
      <c r="D372" s="63">
        <f>5.8169 * CHOOSE(CONTROL!$C$22, $C$13, 100%, $E$13)</f>
        <v>5.8169000000000004</v>
      </c>
      <c r="E372" s="64">
        <f>6.9867 * CHOOSE(CONTROL!$C$22, $C$13, 100%, $E$13)</f>
        <v>6.9866999999999999</v>
      </c>
      <c r="F372" s="64">
        <f>6.9867 * CHOOSE(CONTROL!$C$22, $C$13, 100%, $E$13)</f>
        <v>6.9866999999999999</v>
      </c>
      <c r="G372" s="64">
        <f>6.9965 * CHOOSE(CONTROL!$C$22, $C$13, 100%, $E$13)</f>
        <v>6.9965000000000002</v>
      </c>
      <c r="H372" s="64">
        <f>11.7017* CHOOSE(CONTROL!$C$22, $C$13, 100%, $E$13)</f>
        <v>11.701700000000001</v>
      </c>
      <c r="I372" s="64">
        <f>11.7116 * CHOOSE(CONTROL!$C$22, $C$13, 100%, $E$13)</f>
        <v>11.711600000000001</v>
      </c>
      <c r="J372" s="64">
        <f>6.9867 * CHOOSE(CONTROL!$C$22, $C$13, 100%, $E$13)</f>
        <v>6.9866999999999999</v>
      </c>
      <c r="K372" s="64">
        <f>6.9965 * CHOOSE(CONTROL!$C$22, $C$13, 100%, $E$13)</f>
        <v>6.9965000000000002</v>
      </c>
    </row>
    <row r="373" spans="1:11" ht="15">
      <c r="A373" s="13">
        <v>52841</v>
      </c>
      <c r="B373" s="63">
        <f>5.8058 * CHOOSE(CONTROL!$C$22, $C$13, 100%, $E$13)</f>
        <v>5.8057999999999996</v>
      </c>
      <c r="C373" s="63">
        <f>5.8058 * CHOOSE(CONTROL!$C$22, $C$13, 100%, $E$13)</f>
        <v>5.8057999999999996</v>
      </c>
      <c r="D373" s="63">
        <f>5.8139 * CHOOSE(CONTROL!$C$22, $C$13, 100%, $E$13)</f>
        <v>5.8139000000000003</v>
      </c>
      <c r="E373" s="64">
        <f>6.9729 * CHOOSE(CONTROL!$C$22, $C$13, 100%, $E$13)</f>
        <v>6.9729000000000001</v>
      </c>
      <c r="F373" s="64">
        <f>6.9729 * CHOOSE(CONTROL!$C$22, $C$13, 100%, $E$13)</f>
        <v>6.9729000000000001</v>
      </c>
      <c r="G373" s="64">
        <f>6.9828 * CHOOSE(CONTROL!$C$22, $C$13, 100%, $E$13)</f>
        <v>6.9828000000000001</v>
      </c>
      <c r="H373" s="64">
        <f>11.7261* CHOOSE(CONTROL!$C$22, $C$13, 100%, $E$13)</f>
        <v>11.726100000000001</v>
      </c>
      <c r="I373" s="64">
        <f>11.7359 * CHOOSE(CONTROL!$C$22, $C$13, 100%, $E$13)</f>
        <v>11.735900000000001</v>
      </c>
      <c r="J373" s="64">
        <f>6.9729 * CHOOSE(CONTROL!$C$22, $C$13, 100%, $E$13)</f>
        <v>6.9729000000000001</v>
      </c>
      <c r="K373" s="64">
        <f>6.9828 * CHOOSE(CONTROL!$C$22, $C$13, 100%, $E$13)</f>
        <v>6.9828000000000001</v>
      </c>
    </row>
    <row r="374" spans="1:11" ht="15">
      <c r="A374" s="13">
        <v>52871</v>
      </c>
      <c r="B374" s="63">
        <f>5.8068 * CHOOSE(CONTROL!$C$22, $C$13, 100%, $E$13)</f>
        <v>5.8068</v>
      </c>
      <c r="C374" s="63">
        <f>5.8068 * CHOOSE(CONTROL!$C$22, $C$13, 100%, $E$13)</f>
        <v>5.8068</v>
      </c>
      <c r="D374" s="63">
        <f>5.8068 * CHOOSE(CONTROL!$C$22, $C$13, 100%, $E$13)</f>
        <v>5.8068</v>
      </c>
      <c r="E374" s="64">
        <f>7.0061 * CHOOSE(CONTROL!$C$22, $C$13, 100%, $E$13)</f>
        <v>7.0061</v>
      </c>
      <c r="F374" s="64">
        <f>7.0061 * CHOOSE(CONTROL!$C$22, $C$13, 100%, $E$13)</f>
        <v>7.0061</v>
      </c>
      <c r="G374" s="64">
        <f>7.0061 * CHOOSE(CONTROL!$C$22, $C$13, 100%, $E$13)</f>
        <v>7.0061</v>
      </c>
      <c r="H374" s="64">
        <f>11.7505* CHOOSE(CONTROL!$C$22, $C$13, 100%, $E$13)</f>
        <v>11.750500000000001</v>
      </c>
      <c r="I374" s="64">
        <f>11.7506 * CHOOSE(CONTROL!$C$22, $C$13, 100%, $E$13)</f>
        <v>11.7506</v>
      </c>
      <c r="J374" s="64">
        <f>7.0061 * CHOOSE(CONTROL!$C$22, $C$13, 100%, $E$13)</f>
        <v>7.0061</v>
      </c>
      <c r="K374" s="64">
        <f>7.0061 * CHOOSE(CONTROL!$C$22, $C$13, 100%, $E$13)</f>
        <v>7.0061</v>
      </c>
    </row>
    <row r="375" spans="1:11" ht="15">
      <c r="A375" s="13">
        <v>52902</v>
      </c>
      <c r="B375" s="63">
        <f>5.8099 * CHOOSE(CONTROL!$C$22, $C$13, 100%, $E$13)</f>
        <v>5.8098999999999998</v>
      </c>
      <c r="C375" s="63">
        <f>5.8099 * CHOOSE(CONTROL!$C$22, $C$13, 100%, $E$13)</f>
        <v>5.8098999999999998</v>
      </c>
      <c r="D375" s="63">
        <f>5.8099 * CHOOSE(CONTROL!$C$22, $C$13, 100%, $E$13)</f>
        <v>5.8098999999999998</v>
      </c>
      <c r="E375" s="64">
        <f>7.0314 * CHOOSE(CONTROL!$C$22, $C$13, 100%, $E$13)</f>
        <v>7.0313999999999997</v>
      </c>
      <c r="F375" s="64">
        <f>7.0314 * CHOOSE(CONTROL!$C$22, $C$13, 100%, $E$13)</f>
        <v>7.0313999999999997</v>
      </c>
      <c r="G375" s="64">
        <f>7.0315 * CHOOSE(CONTROL!$C$22, $C$13, 100%, $E$13)</f>
        <v>7.0315000000000003</v>
      </c>
      <c r="H375" s="64">
        <f>11.775* CHOOSE(CONTROL!$C$22, $C$13, 100%, $E$13)</f>
        <v>11.775</v>
      </c>
      <c r="I375" s="64">
        <f>11.7751 * CHOOSE(CONTROL!$C$22, $C$13, 100%, $E$13)</f>
        <v>11.7751</v>
      </c>
      <c r="J375" s="64">
        <f>7.0314 * CHOOSE(CONTROL!$C$22, $C$13, 100%, $E$13)</f>
        <v>7.0313999999999997</v>
      </c>
      <c r="K375" s="64">
        <f>7.0315 * CHOOSE(CONTROL!$C$22, $C$13, 100%, $E$13)</f>
        <v>7.0315000000000003</v>
      </c>
    </row>
    <row r="376" spans="1:11" ht="15">
      <c r="A376" s="13">
        <v>52932</v>
      </c>
      <c r="B376" s="63">
        <f>5.8099 * CHOOSE(CONTROL!$C$22, $C$13, 100%, $E$13)</f>
        <v>5.8098999999999998</v>
      </c>
      <c r="C376" s="63">
        <f>5.8099 * CHOOSE(CONTROL!$C$22, $C$13, 100%, $E$13)</f>
        <v>5.8098999999999998</v>
      </c>
      <c r="D376" s="63">
        <f>5.8099 * CHOOSE(CONTROL!$C$22, $C$13, 100%, $E$13)</f>
        <v>5.8098999999999998</v>
      </c>
      <c r="E376" s="64">
        <f>6.9733 * CHOOSE(CONTROL!$C$22, $C$13, 100%, $E$13)</f>
        <v>6.9733000000000001</v>
      </c>
      <c r="F376" s="64">
        <f>6.9733 * CHOOSE(CONTROL!$C$22, $C$13, 100%, $E$13)</f>
        <v>6.9733000000000001</v>
      </c>
      <c r="G376" s="64">
        <f>6.9734 * CHOOSE(CONTROL!$C$22, $C$13, 100%, $E$13)</f>
        <v>6.9733999999999998</v>
      </c>
      <c r="H376" s="64">
        <f>11.7996* CHOOSE(CONTROL!$C$22, $C$13, 100%, $E$13)</f>
        <v>11.7996</v>
      </c>
      <c r="I376" s="64">
        <f>11.7996 * CHOOSE(CONTROL!$C$22, $C$13, 100%, $E$13)</f>
        <v>11.7996</v>
      </c>
      <c r="J376" s="64">
        <f>6.9733 * CHOOSE(CONTROL!$C$22, $C$13, 100%, $E$13)</f>
        <v>6.9733000000000001</v>
      </c>
      <c r="K376" s="64">
        <f>6.9734 * CHOOSE(CONTROL!$C$22, $C$13, 100%, $E$13)</f>
        <v>6.9733999999999998</v>
      </c>
    </row>
    <row r="377" spans="1:11" ht="15">
      <c r="A377" s="13">
        <v>52963</v>
      </c>
      <c r="B377" s="63">
        <f>5.8609 * CHOOSE(CONTROL!$C$22, $C$13, 100%, $E$13)</f>
        <v>5.8609</v>
      </c>
      <c r="C377" s="63">
        <f>5.8609 * CHOOSE(CONTROL!$C$22, $C$13, 100%, $E$13)</f>
        <v>5.8609</v>
      </c>
      <c r="D377" s="63">
        <f>5.8609 * CHOOSE(CONTROL!$C$22, $C$13, 100%, $E$13)</f>
        <v>5.8609</v>
      </c>
      <c r="E377" s="64">
        <f>7.0724 * CHOOSE(CONTROL!$C$22, $C$13, 100%, $E$13)</f>
        <v>7.0724</v>
      </c>
      <c r="F377" s="64">
        <f>7.0724 * CHOOSE(CONTROL!$C$22, $C$13, 100%, $E$13)</f>
        <v>7.0724</v>
      </c>
      <c r="G377" s="64">
        <f>7.0725 * CHOOSE(CONTROL!$C$22, $C$13, 100%, $E$13)</f>
        <v>7.0724999999999998</v>
      </c>
      <c r="H377" s="64">
        <f>11.8241* CHOOSE(CONTROL!$C$22, $C$13, 100%, $E$13)</f>
        <v>11.8241</v>
      </c>
      <c r="I377" s="64">
        <f>11.8242 * CHOOSE(CONTROL!$C$22, $C$13, 100%, $E$13)</f>
        <v>11.824199999999999</v>
      </c>
      <c r="J377" s="64">
        <f>7.0724 * CHOOSE(CONTROL!$C$22, $C$13, 100%, $E$13)</f>
        <v>7.0724</v>
      </c>
      <c r="K377" s="64">
        <f>7.0725 * CHOOSE(CONTROL!$C$22, $C$13, 100%, $E$13)</f>
        <v>7.0724999999999998</v>
      </c>
    </row>
    <row r="378" spans="1:11" ht="15">
      <c r="A378" s="13">
        <v>52994</v>
      </c>
      <c r="B378" s="63">
        <f>5.8579 * CHOOSE(CONTROL!$C$22, $C$13, 100%, $E$13)</f>
        <v>5.8578999999999999</v>
      </c>
      <c r="C378" s="63">
        <f>5.8579 * CHOOSE(CONTROL!$C$22, $C$13, 100%, $E$13)</f>
        <v>5.8578999999999999</v>
      </c>
      <c r="D378" s="63">
        <f>5.8579 * CHOOSE(CONTROL!$C$22, $C$13, 100%, $E$13)</f>
        <v>5.8578999999999999</v>
      </c>
      <c r="E378" s="64">
        <f>6.9573 * CHOOSE(CONTROL!$C$22, $C$13, 100%, $E$13)</f>
        <v>6.9573</v>
      </c>
      <c r="F378" s="64">
        <f>6.9573 * CHOOSE(CONTROL!$C$22, $C$13, 100%, $E$13)</f>
        <v>6.9573</v>
      </c>
      <c r="G378" s="64">
        <f>6.9574 * CHOOSE(CONTROL!$C$22, $C$13, 100%, $E$13)</f>
        <v>6.9573999999999998</v>
      </c>
      <c r="H378" s="64">
        <f>11.8488* CHOOSE(CONTROL!$C$22, $C$13, 100%, $E$13)</f>
        <v>11.848800000000001</v>
      </c>
      <c r="I378" s="64">
        <f>11.8488 * CHOOSE(CONTROL!$C$22, $C$13, 100%, $E$13)</f>
        <v>11.848800000000001</v>
      </c>
      <c r="J378" s="64">
        <f>6.9573 * CHOOSE(CONTROL!$C$22, $C$13, 100%, $E$13)</f>
        <v>6.9573</v>
      </c>
      <c r="K378" s="64">
        <f>6.9574 * CHOOSE(CONTROL!$C$22, $C$13, 100%, $E$13)</f>
        <v>6.9573999999999998</v>
      </c>
    </row>
    <row r="379" spans="1:11" ht="15">
      <c r="A379" s="13">
        <v>53022</v>
      </c>
      <c r="B379" s="63">
        <f>5.8548 * CHOOSE(CONTROL!$C$22, $C$13, 100%, $E$13)</f>
        <v>5.8548</v>
      </c>
      <c r="C379" s="63">
        <f>5.8548 * CHOOSE(CONTROL!$C$22, $C$13, 100%, $E$13)</f>
        <v>5.8548</v>
      </c>
      <c r="D379" s="63">
        <f>5.8548 * CHOOSE(CONTROL!$C$22, $C$13, 100%, $E$13)</f>
        <v>5.8548</v>
      </c>
      <c r="E379" s="64">
        <f>7.0443 * CHOOSE(CONTROL!$C$22, $C$13, 100%, $E$13)</f>
        <v>7.0442999999999998</v>
      </c>
      <c r="F379" s="64">
        <f>7.0443 * CHOOSE(CONTROL!$C$22, $C$13, 100%, $E$13)</f>
        <v>7.0442999999999998</v>
      </c>
      <c r="G379" s="64">
        <f>7.0443 * CHOOSE(CONTROL!$C$22, $C$13, 100%, $E$13)</f>
        <v>7.0442999999999998</v>
      </c>
      <c r="H379" s="64">
        <f>11.8735* CHOOSE(CONTROL!$C$22, $C$13, 100%, $E$13)</f>
        <v>11.8735</v>
      </c>
      <c r="I379" s="64">
        <f>11.8735 * CHOOSE(CONTROL!$C$22, $C$13, 100%, $E$13)</f>
        <v>11.8735</v>
      </c>
      <c r="J379" s="64">
        <f>7.0443 * CHOOSE(CONTROL!$C$22, $C$13, 100%, $E$13)</f>
        <v>7.0442999999999998</v>
      </c>
      <c r="K379" s="64">
        <f>7.0443 * CHOOSE(CONTROL!$C$22, $C$13, 100%, $E$13)</f>
        <v>7.0442999999999998</v>
      </c>
    </row>
    <row r="380" spans="1:11" ht="15">
      <c r="A380" s="13">
        <v>53053</v>
      </c>
      <c r="B380" s="63">
        <f>5.8541 * CHOOSE(CONTROL!$C$22, $C$13, 100%, $E$13)</f>
        <v>5.8540999999999999</v>
      </c>
      <c r="C380" s="63">
        <f>5.8541 * CHOOSE(CONTROL!$C$22, $C$13, 100%, $E$13)</f>
        <v>5.8540999999999999</v>
      </c>
      <c r="D380" s="63">
        <f>5.8541 * CHOOSE(CONTROL!$C$22, $C$13, 100%, $E$13)</f>
        <v>5.8540999999999999</v>
      </c>
      <c r="E380" s="64">
        <f>7.1357 * CHOOSE(CONTROL!$C$22, $C$13, 100%, $E$13)</f>
        <v>7.1356999999999999</v>
      </c>
      <c r="F380" s="64">
        <f>7.1357 * CHOOSE(CONTROL!$C$22, $C$13, 100%, $E$13)</f>
        <v>7.1356999999999999</v>
      </c>
      <c r="G380" s="64">
        <f>7.1358 * CHOOSE(CONTROL!$C$22, $C$13, 100%, $E$13)</f>
        <v>7.1357999999999997</v>
      </c>
      <c r="H380" s="64">
        <f>11.8982* CHOOSE(CONTROL!$C$22, $C$13, 100%, $E$13)</f>
        <v>11.898199999999999</v>
      </c>
      <c r="I380" s="64">
        <f>11.8983 * CHOOSE(CONTROL!$C$22, $C$13, 100%, $E$13)</f>
        <v>11.898300000000001</v>
      </c>
      <c r="J380" s="64">
        <f>7.1357 * CHOOSE(CONTROL!$C$22, $C$13, 100%, $E$13)</f>
        <v>7.1356999999999999</v>
      </c>
      <c r="K380" s="64">
        <f>7.1358 * CHOOSE(CONTROL!$C$22, $C$13, 100%, $E$13)</f>
        <v>7.1357999999999997</v>
      </c>
    </row>
    <row r="381" spans="1:11" ht="15">
      <c r="A381" s="13">
        <v>53083</v>
      </c>
      <c r="B381" s="63">
        <f>5.8541 * CHOOSE(CONTROL!$C$22, $C$13, 100%, $E$13)</f>
        <v>5.8540999999999999</v>
      </c>
      <c r="C381" s="63">
        <f>5.8541 * CHOOSE(CONTROL!$C$22, $C$13, 100%, $E$13)</f>
        <v>5.8540999999999999</v>
      </c>
      <c r="D381" s="63">
        <f>5.8622 * CHOOSE(CONTROL!$C$22, $C$13, 100%, $E$13)</f>
        <v>5.8621999999999996</v>
      </c>
      <c r="E381" s="64">
        <f>7.1716 * CHOOSE(CONTROL!$C$22, $C$13, 100%, $E$13)</f>
        <v>7.1715999999999998</v>
      </c>
      <c r="F381" s="64">
        <f>7.1716 * CHOOSE(CONTROL!$C$22, $C$13, 100%, $E$13)</f>
        <v>7.1715999999999998</v>
      </c>
      <c r="G381" s="64">
        <f>7.1814 * CHOOSE(CONTROL!$C$22, $C$13, 100%, $E$13)</f>
        <v>7.1814</v>
      </c>
      <c r="H381" s="64">
        <f>11.923* CHOOSE(CONTROL!$C$22, $C$13, 100%, $E$13)</f>
        <v>11.923</v>
      </c>
      <c r="I381" s="64">
        <f>11.9328 * CHOOSE(CONTROL!$C$22, $C$13, 100%, $E$13)</f>
        <v>11.9328</v>
      </c>
      <c r="J381" s="64">
        <f>7.1716 * CHOOSE(CONTROL!$C$22, $C$13, 100%, $E$13)</f>
        <v>7.1715999999999998</v>
      </c>
      <c r="K381" s="64">
        <f>7.1814 * CHOOSE(CONTROL!$C$22, $C$13, 100%, $E$13)</f>
        <v>7.1814</v>
      </c>
    </row>
    <row r="382" spans="1:11" ht="15">
      <c r="A382" s="13">
        <v>53114</v>
      </c>
      <c r="B382" s="63">
        <f>5.8602 * CHOOSE(CONTROL!$C$22, $C$13, 100%, $E$13)</f>
        <v>5.8601999999999999</v>
      </c>
      <c r="C382" s="63">
        <f>5.8602 * CHOOSE(CONTROL!$C$22, $C$13, 100%, $E$13)</f>
        <v>5.8601999999999999</v>
      </c>
      <c r="D382" s="63">
        <f>5.8683 * CHOOSE(CONTROL!$C$22, $C$13, 100%, $E$13)</f>
        <v>5.8682999999999996</v>
      </c>
      <c r="E382" s="64">
        <f>7.1399 * CHOOSE(CONTROL!$C$22, $C$13, 100%, $E$13)</f>
        <v>7.1398999999999999</v>
      </c>
      <c r="F382" s="64">
        <f>7.1399 * CHOOSE(CONTROL!$C$22, $C$13, 100%, $E$13)</f>
        <v>7.1398999999999999</v>
      </c>
      <c r="G382" s="64">
        <f>7.1498 * CHOOSE(CONTROL!$C$22, $C$13, 100%, $E$13)</f>
        <v>7.1497999999999999</v>
      </c>
      <c r="H382" s="64">
        <f>11.9478* CHOOSE(CONTROL!$C$22, $C$13, 100%, $E$13)</f>
        <v>11.947800000000001</v>
      </c>
      <c r="I382" s="64">
        <f>11.9576 * CHOOSE(CONTROL!$C$22, $C$13, 100%, $E$13)</f>
        <v>11.957599999999999</v>
      </c>
      <c r="J382" s="64">
        <f>7.1399 * CHOOSE(CONTROL!$C$22, $C$13, 100%, $E$13)</f>
        <v>7.1398999999999999</v>
      </c>
      <c r="K382" s="64">
        <f>7.1498 * CHOOSE(CONTROL!$C$22, $C$13, 100%, $E$13)</f>
        <v>7.1497999999999999</v>
      </c>
    </row>
    <row r="383" spans="1:11" ht="15">
      <c r="A383" s="13">
        <v>53144</v>
      </c>
      <c r="B383" s="63">
        <f>5.955 * CHOOSE(CONTROL!$C$22, $C$13, 100%, $E$13)</f>
        <v>5.9550000000000001</v>
      </c>
      <c r="C383" s="63">
        <f>5.955 * CHOOSE(CONTROL!$C$22, $C$13, 100%, $E$13)</f>
        <v>5.9550000000000001</v>
      </c>
      <c r="D383" s="63">
        <f>5.9631 * CHOOSE(CONTROL!$C$22, $C$13, 100%, $E$13)</f>
        <v>5.9630999999999998</v>
      </c>
      <c r="E383" s="64">
        <f>7.2599 * CHOOSE(CONTROL!$C$22, $C$13, 100%, $E$13)</f>
        <v>7.2599</v>
      </c>
      <c r="F383" s="64">
        <f>7.2599 * CHOOSE(CONTROL!$C$22, $C$13, 100%, $E$13)</f>
        <v>7.2599</v>
      </c>
      <c r="G383" s="64">
        <f>7.2697 * CHOOSE(CONTROL!$C$22, $C$13, 100%, $E$13)</f>
        <v>7.2697000000000003</v>
      </c>
      <c r="H383" s="64">
        <f>11.9727* CHOOSE(CONTROL!$C$22, $C$13, 100%, $E$13)</f>
        <v>11.9727</v>
      </c>
      <c r="I383" s="64">
        <f>11.9825 * CHOOSE(CONTROL!$C$22, $C$13, 100%, $E$13)</f>
        <v>11.9825</v>
      </c>
      <c r="J383" s="64">
        <f>7.2599 * CHOOSE(CONTROL!$C$22, $C$13, 100%, $E$13)</f>
        <v>7.2599</v>
      </c>
      <c r="K383" s="64">
        <f>7.2697 * CHOOSE(CONTROL!$C$22, $C$13, 100%, $E$13)</f>
        <v>7.2697000000000003</v>
      </c>
    </row>
    <row r="384" spans="1:11" ht="15">
      <c r="A384" s="13">
        <v>53175</v>
      </c>
      <c r="B384" s="63">
        <f>5.9617 * CHOOSE(CONTROL!$C$22, $C$13, 100%, $E$13)</f>
        <v>5.9617000000000004</v>
      </c>
      <c r="C384" s="63">
        <f>5.9617 * CHOOSE(CONTROL!$C$22, $C$13, 100%, $E$13)</f>
        <v>5.9617000000000004</v>
      </c>
      <c r="D384" s="63">
        <f>5.9698 * CHOOSE(CONTROL!$C$22, $C$13, 100%, $E$13)</f>
        <v>5.9698000000000002</v>
      </c>
      <c r="E384" s="64">
        <f>7.1569 * CHOOSE(CONTROL!$C$22, $C$13, 100%, $E$13)</f>
        <v>7.1569000000000003</v>
      </c>
      <c r="F384" s="64">
        <f>7.1569 * CHOOSE(CONTROL!$C$22, $C$13, 100%, $E$13)</f>
        <v>7.1569000000000003</v>
      </c>
      <c r="G384" s="64">
        <f>7.1668 * CHOOSE(CONTROL!$C$22, $C$13, 100%, $E$13)</f>
        <v>7.1668000000000003</v>
      </c>
      <c r="H384" s="64">
        <f>11.9977* CHOOSE(CONTROL!$C$22, $C$13, 100%, $E$13)</f>
        <v>11.9977</v>
      </c>
      <c r="I384" s="64">
        <f>12.0075 * CHOOSE(CONTROL!$C$22, $C$13, 100%, $E$13)</f>
        <v>12.0075</v>
      </c>
      <c r="J384" s="64">
        <f>7.1569 * CHOOSE(CONTROL!$C$22, $C$13, 100%, $E$13)</f>
        <v>7.1569000000000003</v>
      </c>
      <c r="K384" s="64">
        <f>7.1668 * CHOOSE(CONTROL!$C$22, $C$13, 100%, $E$13)</f>
        <v>7.1668000000000003</v>
      </c>
    </row>
    <row r="385" spans="1:11" ht="15">
      <c r="A385" s="13">
        <v>53206</v>
      </c>
      <c r="B385" s="63">
        <f>5.9586 * CHOOSE(CONTROL!$C$22, $C$13, 100%, $E$13)</f>
        <v>5.9585999999999997</v>
      </c>
      <c r="C385" s="63">
        <f>5.9586 * CHOOSE(CONTROL!$C$22, $C$13, 100%, $E$13)</f>
        <v>5.9585999999999997</v>
      </c>
      <c r="D385" s="63">
        <f>5.9667 * CHOOSE(CONTROL!$C$22, $C$13, 100%, $E$13)</f>
        <v>5.9667000000000003</v>
      </c>
      <c r="E385" s="64">
        <f>7.1429 * CHOOSE(CONTROL!$C$22, $C$13, 100%, $E$13)</f>
        <v>7.1429</v>
      </c>
      <c r="F385" s="64">
        <f>7.1429 * CHOOSE(CONTROL!$C$22, $C$13, 100%, $E$13)</f>
        <v>7.1429</v>
      </c>
      <c r="G385" s="64">
        <f>7.1527 * CHOOSE(CONTROL!$C$22, $C$13, 100%, $E$13)</f>
        <v>7.1527000000000003</v>
      </c>
      <c r="H385" s="64">
        <f>12.0226* CHOOSE(CONTROL!$C$22, $C$13, 100%, $E$13)</f>
        <v>12.022600000000001</v>
      </c>
      <c r="I385" s="64">
        <f>12.0325 * CHOOSE(CONTROL!$C$22, $C$13, 100%, $E$13)</f>
        <v>12.032500000000001</v>
      </c>
      <c r="J385" s="64">
        <f>7.1429 * CHOOSE(CONTROL!$C$22, $C$13, 100%, $E$13)</f>
        <v>7.1429</v>
      </c>
      <c r="K385" s="64">
        <f>7.1527 * CHOOSE(CONTROL!$C$22, $C$13, 100%, $E$13)</f>
        <v>7.1527000000000003</v>
      </c>
    </row>
    <row r="386" spans="1:11" ht="15">
      <c r="A386" s="13">
        <v>53236</v>
      </c>
      <c r="B386" s="63">
        <f>5.9602 * CHOOSE(CONTROL!$C$22, $C$13, 100%, $E$13)</f>
        <v>5.9602000000000004</v>
      </c>
      <c r="C386" s="63">
        <f>5.9602 * CHOOSE(CONTROL!$C$22, $C$13, 100%, $E$13)</f>
        <v>5.9602000000000004</v>
      </c>
      <c r="D386" s="63">
        <f>5.9602 * CHOOSE(CONTROL!$C$22, $C$13, 100%, $E$13)</f>
        <v>5.9602000000000004</v>
      </c>
      <c r="E386" s="64">
        <f>7.1773 * CHOOSE(CONTROL!$C$22, $C$13, 100%, $E$13)</f>
        <v>7.1772999999999998</v>
      </c>
      <c r="F386" s="64">
        <f>7.1773 * CHOOSE(CONTROL!$C$22, $C$13, 100%, $E$13)</f>
        <v>7.1772999999999998</v>
      </c>
      <c r="G386" s="64">
        <f>7.1774 * CHOOSE(CONTROL!$C$22, $C$13, 100%, $E$13)</f>
        <v>7.1773999999999996</v>
      </c>
      <c r="H386" s="64">
        <f>12.0477* CHOOSE(CONTROL!$C$22, $C$13, 100%, $E$13)</f>
        <v>12.047700000000001</v>
      </c>
      <c r="I386" s="64">
        <f>12.0478 * CHOOSE(CONTROL!$C$22, $C$13, 100%, $E$13)</f>
        <v>12.047800000000001</v>
      </c>
      <c r="J386" s="64">
        <f>7.1773 * CHOOSE(CONTROL!$C$22, $C$13, 100%, $E$13)</f>
        <v>7.1772999999999998</v>
      </c>
      <c r="K386" s="64">
        <f>7.1774 * CHOOSE(CONTROL!$C$22, $C$13, 100%, $E$13)</f>
        <v>7.1773999999999996</v>
      </c>
    </row>
    <row r="387" spans="1:11" ht="15">
      <c r="A387" s="13">
        <v>53267</v>
      </c>
      <c r="B387" s="63">
        <f>5.9632 * CHOOSE(CONTROL!$C$22, $C$13, 100%, $E$13)</f>
        <v>5.9631999999999996</v>
      </c>
      <c r="C387" s="63">
        <f>5.9632 * CHOOSE(CONTROL!$C$22, $C$13, 100%, $E$13)</f>
        <v>5.9631999999999996</v>
      </c>
      <c r="D387" s="63">
        <f>5.9632 * CHOOSE(CONTROL!$C$22, $C$13, 100%, $E$13)</f>
        <v>5.9631999999999996</v>
      </c>
      <c r="E387" s="64">
        <f>7.2033 * CHOOSE(CONTROL!$C$22, $C$13, 100%, $E$13)</f>
        <v>7.2032999999999996</v>
      </c>
      <c r="F387" s="64">
        <f>7.2033 * CHOOSE(CONTROL!$C$22, $C$13, 100%, $E$13)</f>
        <v>7.2032999999999996</v>
      </c>
      <c r="G387" s="64">
        <f>7.2034 * CHOOSE(CONTROL!$C$22, $C$13, 100%, $E$13)</f>
        <v>7.2034000000000002</v>
      </c>
      <c r="H387" s="64">
        <f>12.0728* CHOOSE(CONTROL!$C$22, $C$13, 100%, $E$13)</f>
        <v>12.072800000000001</v>
      </c>
      <c r="I387" s="64">
        <f>12.0729 * CHOOSE(CONTROL!$C$22, $C$13, 100%, $E$13)</f>
        <v>12.072900000000001</v>
      </c>
      <c r="J387" s="64">
        <f>7.2033 * CHOOSE(CONTROL!$C$22, $C$13, 100%, $E$13)</f>
        <v>7.2032999999999996</v>
      </c>
      <c r="K387" s="64">
        <f>7.2034 * CHOOSE(CONTROL!$C$22, $C$13, 100%, $E$13)</f>
        <v>7.2034000000000002</v>
      </c>
    </row>
    <row r="388" spans="1:11" ht="15">
      <c r="A388" s="13">
        <v>53297</v>
      </c>
      <c r="B388" s="63">
        <f>5.9632 * CHOOSE(CONTROL!$C$22, $C$13, 100%, $E$13)</f>
        <v>5.9631999999999996</v>
      </c>
      <c r="C388" s="63">
        <f>5.9632 * CHOOSE(CONTROL!$C$22, $C$13, 100%, $E$13)</f>
        <v>5.9631999999999996</v>
      </c>
      <c r="D388" s="63">
        <f>5.9632 * CHOOSE(CONTROL!$C$22, $C$13, 100%, $E$13)</f>
        <v>5.9631999999999996</v>
      </c>
      <c r="E388" s="64">
        <f>7.1435 * CHOOSE(CONTROL!$C$22, $C$13, 100%, $E$13)</f>
        <v>7.1435000000000004</v>
      </c>
      <c r="F388" s="64">
        <f>7.1435 * CHOOSE(CONTROL!$C$22, $C$13, 100%, $E$13)</f>
        <v>7.1435000000000004</v>
      </c>
      <c r="G388" s="64">
        <f>7.1436 * CHOOSE(CONTROL!$C$22, $C$13, 100%, $E$13)</f>
        <v>7.1436000000000002</v>
      </c>
      <c r="H388" s="64">
        <f>12.0979* CHOOSE(CONTROL!$C$22, $C$13, 100%, $E$13)</f>
        <v>12.097899999999999</v>
      </c>
      <c r="I388" s="64">
        <f>12.098 * CHOOSE(CONTROL!$C$22, $C$13, 100%, $E$13)</f>
        <v>12.098000000000001</v>
      </c>
      <c r="J388" s="64">
        <f>7.1435 * CHOOSE(CONTROL!$C$22, $C$13, 100%, $E$13)</f>
        <v>7.1435000000000004</v>
      </c>
      <c r="K388" s="64">
        <f>7.1436 * CHOOSE(CONTROL!$C$22, $C$13, 100%, $E$13)</f>
        <v>7.1436000000000002</v>
      </c>
    </row>
    <row r="389" spans="1:11" ht="15">
      <c r="A389" s="13">
        <v>53328</v>
      </c>
      <c r="B389" s="63">
        <f>6.0155 * CHOOSE(CONTROL!$C$22, $C$13, 100%, $E$13)</f>
        <v>6.0155000000000003</v>
      </c>
      <c r="C389" s="63">
        <f>6.0155 * CHOOSE(CONTROL!$C$22, $C$13, 100%, $E$13)</f>
        <v>6.0155000000000003</v>
      </c>
      <c r="D389" s="63">
        <f>6.0155 * CHOOSE(CONTROL!$C$22, $C$13, 100%, $E$13)</f>
        <v>6.0155000000000003</v>
      </c>
      <c r="E389" s="64">
        <f>7.2452 * CHOOSE(CONTROL!$C$22, $C$13, 100%, $E$13)</f>
        <v>7.2451999999999996</v>
      </c>
      <c r="F389" s="64">
        <f>7.2452 * CHOOSE(CONTROL!$C$22, $C$13, 100%, $E$13)</f>
        <v>7.2451999999999996</v>
      </c>
      <c r="G389" s="64">
        <f>7.2453 * CHOOSE(CONTROL!$C$22, $C$13, 100%, $E$13)</f>
        <v>7.2453000000000003</v>
      </c>
      <c r="H389" s="64">
        <f>12.1231* CHOOSE(CONTROL!$C$22, $C$13, 100%, $E$13)</f>
        <v>12.123100000000001</v>
      </c>
      <c r="I389" s="64">
        <f>12.1232 * CHOOSE(CONTROL!$C$22, $C$13, 100%, $E$13)</f>
        <v>12.123200000000001</v>
      </c>
      <c r="J389" s="64">
        <f>7.2452 * CHOOSE(CONTROL!$C$22, $C$13, 100%, $E$13)</f>
        <v>7.2451999999999996</v>
      </c>
      <c r="K389" s="64">
        <f>7.2453 * CHOOSE(CONTROL!$C$22, $C$13, 100%, $E$13)</f>
        <v>7.2453000000000003</v>
      </c>
    </row>
    <row r="390" spans="1:11" ht="15">
      <c r="A390" s="13">
        <v>53359</v>
      </c>
      <c r="B390" s="63">
        <f>6.0125 * CHOOSE(CONTROL!$C$22, $C$13, 100%, $E$13)</f>
        <v>6.0125000000000002</v>
      </c>
      <c r="C390" s="63">
        <f>6.0125 * CHOOSE(CONTROL!$C$22, $C$13, 100%, $E$13)</f>
        <v>6.0125000000000002</v>
      </c>
      <c r="D390" s="63">
        <f>6.0125 * CHOOSE(CONTROL!$C$22, $C$13, 100%, $E$13)</f>
        <v>6.0125000000000002</v>
      </c>
      <c r="E390" s="64">
        <f>7.1269 * CHOOSE(CONTROL!$C$22, $C$13, 100%, $E$13)</f>
        <v>7.1269</v>
      </c>
      <c r="F390" s="64">
        <f>7.1269 * CHOOSE(CONTROL!$C$22, $C$13, 100%, $E$13)</f>
        <v>7.1269</v>
      </c>
      <c r="G390" s="64">
        <f>7.127 * CHOOSE(CONTROL!$C$22, $C$13, 100%, $E$13)</f>
        <v>7.1269999999999998</v>
      </c>
      <c r="H390" s="64">
        <f>12.1484* CHOOSE(CONTROL!$C$22, $C$13, 100%, $E$13)</f>
        <v>12.148400000000001</v>
      </c>
      <c r="I390" s="64">
        <f>12.1485 * CHOOSE(CONTROL!$C$22, $C$13, 100%, $E$13)</f>
        <v>12.1485</v>
      </c>
      <c r="J390" s="64">
        <f>7.1269 * CHOOSE(CONTROL!$C$22, $C$13, 100%, $E$13)</f>
        <v>7.1269</v>
      </c>
      <c r="K390" s="64">
        <f>7.127 * CHOOSE(CONTROL!$C$22, $C$13, 100%, $E$13)</f>
        <v>7.1269999999999998</v>
      </c>
    </row>
    <row r="391" spans="1:11" ht="15">
      <c r="A391" s="13">
        <v>53387</v>
      </c>
      <c r="B391" s="63">
        <f>6.0094 * CHOOSE(CONTROL!$C$22, $C$13, 100%, $E$13)</f>
        <v>6.0094000000000003</v>
      </c>
      <c r="C391" s="63">
        <f>6.0094 * CHOOSE(CONTROL!$C$22, $C$13, 100%, $E$13)</f>
        <v>6.0094000000000003</v>
      </c>
      <c r="D391" s="63">
        <f>6.0094 * CHOOSE(CONTROL!$C$22, $C$13, 100%, $E$13)</f>
        <v>6.0094000000000003</v>
      </c>
      <c r="E391" s="64">
        <f>7.2164 * CHOOSE(CONTROL!$C$22, $C$13, 100%, $E$13)</f>
        <v>7.2164000000000001</v>
      </c>
      <c r="F391" s="64">
        <f>7.2164 * CHOOSE(CONTROL!$C$22, $C$13, 100%, $E$13)</f>
        <v>7.2164000000000001</v>
      </c>
      <c r="G391" s="64">
        <f>7.2164 * CHOOSE(CONTROL!$C$22, $C$13, 100%, $E$13)</f>
        <v>7.2164000000000001</v>
      </c>
      <c r="H391" s="64">
        <f>12.1737* CHOOSE(CONTROL!$C$22, $C$13, 100%, $E$13)</f>
        <v>12.1737</v>
      </c>
      <c r="I391" s="64">
        <f>12.1738 * CHOOSE(CONTROL!$C$22, $C$13, 100%, $E$13)</f>
        <v>12.1738</v>
      </c>
      <c r="J391" s="64">
        <f>7.2164 * CHOOSE(CONTROL!$C$22, $C$13, 100%, $E$13)</f>
        <v>7.2164000000000001</v>
      </c>
      <c r="K391" s="64">
        <f>7.2164 * CHOOSE(CONTROL!$C$22, $C$13, 100%, $E$13)</f>
        <v>7.2164000000000001</v>
      </c>
    </row>
    <row r="392" spans="1:11" ht="15">
      <c r="A392" s="13">
        <v>53418</v>
      </c>
      <c r="B392" s="63">
        <f>6.0088 * CHOOSE(CONTROL!$C$22, $C$13, 100%, $E$13)</f>
        <v>6.0087999999999999</v>
      </c>
      <c r="C392" s="63">
        <f>6.0088 * CHOOSE(CONTROL!$C$22, $C$13, 100%, $E$13)</f>
        <v>6.0087999999999999</v>
      </c>
      <c r="D392" s="63">
        <f>6.0088 * CHOOSE(CONTROL!$C$22, $C$13, 100%, $E$13)</f>
        <v>6.0087999999999999</v>
      </c>
      <c r="E392" s="64">
        <f>7.3105 * CHOOSE(CONTROL!$C$22, $C$13, 100%, $E$13)</f>
        <v>7.3105000000000002</v>
      </c>
      <c r="F392" s="64">
        <f>7.3105 * CHOOSE(CONTROL!$C$22, $C$13, 100%, $E$13)</f>
        <v>7.3105000000000002</v>
      </c>
      <c r="G392" s="64">
        <f>7.3106 * CHOOSE(CONTROL!$C$22, $C$13, 100%, $E$13)</f>
        <v>7.3106</v>
      </c>
      <c r="H392" s="64">
        <f>12.1991* CHOOSE(CONTROL!$C$22, $C$13, 100%, $E$13)</f>
        <v>12.1991</v>
      </c>
      <c r="I392" s="64">
        <f>12.1992 * CHOOSE(CONTROL!$C$22, $C$13, 100%, $E$13)</f>
        <v>12.199199999999999</v>
      </c>
      <c r="J392" s="64">
        <f>7.3105 * CHOOSE(CONTROL!$C$22, $C$13, 100%, $E$13)</f>
        <v>7.3105000000000002</v>
      </c>
      <c r="K392" s="64">
        <f>7.3106 * CHOOSE(CONTROL!$C$22, $C$13, 100%, $E$13)</f>
        <v>7.3106</v>
      </c>
    </row>
    <row r="393" spans="1:11" ht="15">
      <c r="A393" s="13">
        <v>53448</v>
      </c>
      <c r="B393" s="63">
        <f>6.0088 * CHOOSE(CONTROL!$C$22, $C$13, 100%, $E$13)</f>
        <v>6.0087999999999999</v>
      </c>
      <c r="C393" s="63">
        <f>6.0088 * CHOOSE(CONTROL!$C$22, $C$13, 100%, $E$13)</f>
        <v>6.0087999999999999</v>
      </c>
      <c r="D393" s="63">
        <f>6.0169 * CHOOSE(CONTROL!$C$22, $C$13, 100%, $E$13)</f>
        <v>6.0168999999999997</v>
      </c>
      <c r="E393" s="64">
        <f>7.3474 * CHOOSE(CONTROL!$C$22, $C$13, 100%, $E$13)</f>
        <v>7.3474000000000004</v>
      </c>
      <c r="F393" s="64">
        <f>7.3474 * CHOOSE(CONTROL!$C$22, $C$13, 100%, $E$13)</f>
        <v>7.3474000000000004</v>
      </c>
      <c r="G393" s="64">
        <f>7.3572 * CHOOSE(CONTROL!$C$22, $C$13, 100%, $E$13)</f>
        <v>7.3571999999999997</v>
      </c>
      <c r="H393" s="64">
        <f>12.2245* CHOOSE(CONTROL!$C$22, $C$13, 100%, $E$13)</f>
        <v>12.224500000000001</v>
      </c>
      <c r="I393" s="64">
        <f>12.2343 * CHOOSE(CONTROL!$C$22, $C$13, 100%, $E$13)</f>
        <v>12.234299999999999</v>
      </c>
      <c r="J393" s="64">
        <f>7.3474 * CHOOSE(CONTROL!$C$22, $C$13, 100%, $E$13)</f>
        <v>7.3474000000000004</v>
      </c>
      <c r="K393" s="64">
        <f>7.3572 * CHOOSE(CONTROL!$C$22, $C$13, 100%, $E$13)</f>
        <v>7.3571999999999997</v>
      </c>
    </row>
    <row r="394" spans="1:11" ht="15">
      <c r="A394" s="13">
        <v>53479</v>
      </c>
      <c r="B394" s="63">
        <f>6.0149 * CHOOSE(CONTROL!$C$22, $C$13, 100%, $E$13)</f>
        <v>6.0148999999999999</v>
      </c>
      <c r="C394" s="63">
        <f>6.0149 * CHOOSE(CONTROL!$C$22, $C$13, 100%, $E$13)</f>
        <v>6.0148999999999999</v>
      </c>
      <c r="D394" s="63">
        <f>6.023 * CHOOSE(CONTROL!$C$22, $C$13, 100%, $E$13)</f>
        <v>6.0229999999999997</v>
      </c>
      <c r="E394" s="64">
        <f>7.3147 * CHOOSE(CONTROL!$C$22, $C$13, 100%, $E$13)</f>
        <v>7.3147000000000002</v>
      </c>
      <c r="F394" s="64">
        <f>7.3147 * CHOOSE(CONTROL!$C$22, $C$13, 100%, $E$13)</f>
        <v>7.3147000000000002</v>
      </c>
      <c r="G394" s="64">
        <f>7.3245 * CHOOSE(CONTROL!$C$22, $C$13, 100%, $E$13)</f>
        <v>7.3244999999999996</v>
      </c>
      <c r="H394" s="64">
        <f>12.25* CHOOSE(CONTROL!$C$22, $C$13, 100%, $E$13)</f>
        <v>12.25</v>
      </c>
      <c r="I394" s="64">
        <f>12.2598 * CHOOSE(CONTROL!$C$22, $C$13, 100%, $E$13)</f>
        <v>12.2598</v>
      </c>
      <c r="J394" s="64">
        <f>7.3147 * CHOOSE(CONTROL!$C$22, $C$13, 100%, $E$13)</f>
        <v>7.3147000000000002</v>
      </c>
      <c r="K394" s="64">
        <f>7.3245 * CHOOSE(CONTROL!$C$22, $C$13, 100%, $E$13)</f>
        <v>7.3244999999999996</v>
      </c>
    </row>
    <row r="395" spans="1:11" ht="15">
      <c r="A395" s="13">
        <v>53509</v>
      </c>
      <c r="B395" s="63">
        <f>6.1119 * CHOOSE(CONTROL!$C$22, $C$13, 100%, $E$13)</f>
        <v>6.1119000000000003</v>
      </c>
      <c r="C395" s="63">
        <f>6.1119 * CHOOSE(CONTROL!$C$22, $C$13, 100%, $E$13)</f>
        <v>6.1119000000000003</v>
      </c>
      <c r="D395" s="63">
        <f>6.12 * CHOOSE(CONTROL!$C$22, $C$13, 100%, $E$13)</f>
        <v>6.12</v>
      </c>
      <c r="E395" s="64">
        <f>7.4374 * CHOOSE(CONTROL!$C$22, $C$13, 100%, $E$13)</f>
        <v>7.4374000000000002</v>
      </c>
      <c r="F395" s="64">
        <f>7.4374 * CHOOSE(CONTROL!$C$22, $C$13, 100%, $E$13)</f>
        <v>7.4374000000000002</v>
      </c>
      <c r="G395" s="64">
        <f>7.4472 * CHOOSE(CONTROL!$C$22, $C$13, 100%, $E$13)</f>
        <v>7.4471999999999996</v>
      </c>
      <c r="H395" s="64">
        <f>12.2755* CHOOSE(CONTROL!$C$22, $C$13, 100%, $E$13)</f>
        <v>12.275499999999999</v>
      </c>
      <c r="I395" s="64">
        <f>12.2853 * CHOOSE(CONTROL!$C$22, $C$13, 100%, $E$13)</f>
        <v>12.285299999999999</v>
      </c>
      <c r="J395" s="64">
        <f>7.4374 * CHOOSE(CONTROL!$C$22, $C$13, 100%, $E$13)</f>
        <v>7.4374000000000002</v>
      </c>
      <c r="K395" s="64">
        <f>7.4472 * CHOOSE(CONTROL!$C$22, $C$13, 100%, $E$13)</f>
        <v>7.4471999999999996</v>
      </c>
    </row>
    <row r="396" spans="1:11" ht="15">
      <c r="A396" s="13">
        <v>53540</v>
      </c>
      <c r="B396" s="63">
        <f>6.1186 * CHOOSE(CONTROL!$C$22, $C$13, 100%, $E$13)</f>
        <v>6.1185999999999998</v>
      </c>
      <c r="C396" s="63">
        <f>6.1186 * CHOOSE(CONTROL!$C$22, $C$13, 100%, $E$13)</f>
        <v>6.1185999999999998</v>
      </c>
      <c r="D396" s="63">
        <f>6.1267 * CHOOSE(CONTROL!$C$22, $C$13, 100%, $E$13)</f>
        <v>6.1266999999999996</v>
      </c>
      <c r="E396" s="64">
        <f>7.3314 * CHOOSE(CONTROL!$C$22, $C$13, 100%, $E$13)</f>
        <v>7.3314000000000004</v>
      </c>
      <c r="F396" s="64">
        <f>7.3314 * CHOOSE(CONTROL!$C$22, $C$13, 100%, $E$13)</f>
        <v>7.3314000000000004</v>
      </c>
      <c r="G396" s="64">
        <f>7.3412 * CHOOSE(CONTROL!$C$22, $C$13, 100%, $E$13)</f>
        <v>7.3411999999999997</v>
      </c>
      <c r="H396" s="64">
        <f>12.3011* CHOOSE(CONTROL!$C$22, $C$13, 100%, $E$13)</f>
        <v>12.3011</v>
      </c>
      <c r="I396" s="64">
        <f>12.3109 * CHOOSE(CONTROL!$C$22, $C$13, 100%, $E$13)</f>
        <v>12.3109</v>
      </c>
      <c r="J396" s="64">
        <f>7.3314 * CHOOSE(CONTROL!$C$22, $C$13, 100%, $E$13)</f>
        <v>7.3314000000000004</v>
      </c>
      <c r="K396" s="64">
        <f>7.3412 * CHOOSE(CONTROL!$C$22, $C$13, 100%, $E$13)</f>
        <v>7.3411999999999997</v>
      </c>
    </row>
    <row r="397" spans="1:11" ht="15">
      <c r="A397" s="13">
        <v>53571</v>
      </c>
      <c r="B397" s="63">
        <f>6.1156 * CHOOSE(CONTROL!$C$22, $C$13, 100%, $E$13)</f>
        <v>6.1155999999999997</v>
      </c>
      <c r="C397" s="63">
        <f>6.1156 * CHOOSE(CONTROL!$C$22, $C$13, 100%, $E$13)</f>
        <v>6.1155999999999997</v>
      </c>
      <c r="D397" s="63">
        <f>6.1237 * CHOOSE(CONTROL!$C$22, $C$13, 100%, $E$13)</f>
        <v>6.1237000000000004</v>
      </c>
      <c r="E397" s="64">
        <f>7.317 * CHOOSE(CONTROL!$C$22, $C$13, 100%, $E$13)</f>
        <v>7.3170000000000002</v>
      </c>
      <c r="F397" s="64">
        <f>7.317 * CHOOSE(CONTROL!$C$22, $C$13, 100%, $E$13)</f>
        <v>7.3170000000000002</v>
      </c>
      <c r="G397" s="64">
        <f>7.3268 * CHOOSE(CONTROL!$C$22, $C$13, 100%, $E$13)</f>
        <v>7.3268000000000004</v>
      </c>
      <c r="H397" s="64">
        <f>12.3267* CHOOSE(CONTROL!$C$22, $C$13, 100%, $E$13)</f>
        <v>12.326700000000001</v>
      </c>
      <c r="I397" s="64">
        <f>12.3365 * CHOOSE(CONTROL!$C$22, $C$13, 100%, $E$13)</f>
        <v>12.336499999999999</v>
      </c>
      <c r="J397" s="64">
        <f>7.317 * CHOOSE(CONTROL!$C$22, $C$13, 100%, $E$13)</f>
        <v>7.3170000000000002</v>
      </c>
      <c r="K397" s="64">
        <f>7.3268 * CHOOSE(CONTROL!$C$22, $C$13, 100%, $E$13)</f>
        <v>7.3268000000000004</v>
      </c>
    </row>
    <row r="398" spans="1:11" ht="15">
      <c r="A398" s="13">
        <v>53601</v>
      </c>
      <c r="B398" s="63">
        <f>6.1176 * CHOOSE(CONTROL!$C$22, $C$13, 100%, $E$13)</f>
        <v>6.1176000000000004</v>
      </c>
      <c r="C398" s="63">
        <f>6.1176 * CHOOSE(CONTROL!$C$22, $C$13, 100%, $E$13)</f>
        <v>6.1176000000000004</v>
      </c>
      <c r="D398" s="63">
        <f>6.1177 * CHOOSE(CONTROL!$C$22, $C$13, 100%, $E$13)</f>
        <v>6.1177000000000001</v>
      </c>
      <c r="E398" s="64">
        <f>7.3527 * CHOOSE(CONTROL!$C$22, $C$13, 100%, $E$13)</f>
        <v>7.3526999999999996</v>
      </c>
      <c r="F398" s="64">
        <f>7.3527 * CHOOSE(CONTROL!$C$22, $C$13, 100%, $E$13)</f>
        <v>7.3526999999999996</v>
      </c>
      <c r="G398" s="64">
        <f>7.3528 * CHOOSE(CONTROL!$C$22, $C$13, 100%, $E$13)</f>
        <v>7.3528000000000002</v>
      </c>
      <c r="H398" s="64">
        <f>12.3524* CHOOSE(CONTROL!$C$22, $C$13, 100%, $E$13)</f>
        <v>12.352399999999999</v>
      </c>
      <c r="I398" s="64">
        <f>12.3524 * CHOOSE(CONTROL!$C$22, $C$13, 100%, $E$13)</f>
        <v>12.352399999999999</v>
      </c>
      <c r="J398" s="64">
        <f>7.3527 * CHOOSE(CONTROL!$C$22, $C$13, 100%, $E$13)</f>
        <v>7.3526999999999996</v>
      </c>
      <c r="K398" s="64">
        <f>7.3528 * CHOOSE(CONTROL!$C$22, $C$13, 100%, $E$13)</f>
        <v>7.3528000000000002</v>
      </c>
    </row>
    <row r="399" spans="1:11" ht="15">
      <c r="A399" s="13">
        <v>53632</v>
      </c>
      <c r="B399" s="63">
        <f>6.1207 * CHOOSE(CONTROL!$C$22, $C$13, 100%, $E$13)</f>
        <v>6.1207000000000003</v>
      </c>
      <c r="C399" s="63">
        <f>6.1207 * CHOOSE(CONTROL!$C$22, $C$13, 100%, $E$13)</f>
        <v>6.1207000000000003</v>
      </c>
      <c r="D399" s="63">
        <f>6.1207 * CHOOSE(CONTROL!$C$22, $C$13, 100%, $E$13)</f>
        <v>6.1207000000000003</v>
      </c>
      <c r="E399" s="64">
        <f>7.3794 * CHOOSE(CONTROL!$C$22, $C$13, 100%, $E$13)</f>
        <v>7.3794000000000004</v>
      </c>
      <c r="F399" s="64">
        <f>7.3794 * CHOOSE(CONTROL!$C$22, $C$13, 100%, $E$13)</f>
        <v>7.3794000000000004</v>
      </c>
      <c r="G399" s="64">
        <f>7.3795 * CHOOSE(CONTROL!$C$22, $C$13, 100%, $E$13)</f>
        <v>7.3795000000000002</v>
      </c>
      <c r="H399" s="64">
        <f>12.3781* CHOOSE(CONTROL!$C$22, $C$13, 100%, $E$13)</f>
        <v>12.3781</v>
      </c>
      <c r="I399" s="64">
        <f>12.3782 * CHOOSE(CONTROL!$C$22, $C$13, 100%, $E$13)</f>
        <v>12.3782</v>
      </c>
      <c r="J399" s="64">
        <f>7.3794 * CHOOSE(CONTROL!$C$22, $C$13, 100%, $E$13)</f>
        <v>7.3794000000000004</v>
      </c>
      <c r="K399" s="64">
        <f>7.3795 * CHOOSE(CONTROL!$C$22, $C$13, 100%, $E$13)</f>
        <v>7.3795000000000002</v>
      </c>
    </row>
    <row r="400" spans="1:11" ht="15">
      <c r="A400" s="13">
        <v>53662</v>
      </c>
      <c r="B400" s="63">
        <f>6.1207 * CHOOSE(CONTROL!$C$22, $C$13, 100%, $E$13)</f>
        <v>6.1207000000000003</v>
      </c>
      <c r="C400" s="63">
        <f>6.1207 * CHOOSE(CONTROL!$C$22, $C$13, 100%, $E$13)</f>
        <v>6.1207000000000003</v>
      </c>
      <c r="D400" s="63">
        <f>6.1207 * CHOOSE(CONTROL!$C$22, $C$13, 100%, $E$13)</f>
        <v>6.1207000000000003</v>
      </c>
      <c r="E400" s="64">
        <f>7.318 * CHOOSE(CONTROL!$C$22, $C$13, 100%, $E$13)</f>
        <v>7.3179999999999996</v>
      </c>
      <c r="F400" s="64">
        <f>7.318 * CHOOSE(CONTROL!$C$22, $C$13, 100%, $E$13)</f>
        <v>7.3179999999999996</v>
      </c>
      <c r="G400" s="64">
        <f>7.318 * CHOOSE(CONTROL!$C$22, $C$13, 100%, $E$13)</f>
        <v>7.3179999999999996</v>
      </c>
      <c r="H400" s="64">
        <f>12.4039* CHOOSE(CONTROL!$C$22, $C$13, 100%, $E$13)</f>
        <v>12.4039</v>
      </c>
      <c r="I400" s="64">
        <f>12.404 * CHOOSE(CONTROL!$C$22, $C$13, 100%, $E$13)</f>
        <v>12.404</v>
      </c>
      <c r="J400" s="64">
        <f>7.318 * CHOOSE(CONTROL!$C$22, $C$13, 100%, $E$13)</f>
        <v>7.3179999999999996</v>
      </c>
      <c r="K400" s="64">
        <f>7.318 * CHOOSE(CONTROL!$C$22, $C$13, 100%, $E$13)</f>
        <v>7.3179999999999996</v>
      </c>
    </row>
    <row r="401" spans="1:11" ht="15">
      <c r="A401" s="13">
        <v>53693</v>
      </c>
      <c r="B401" s="63">
        <f>6.1742 * CHOOSE(CONTROL!$C$22, $C$13, 100%, $E$13)</f>
        <v>6.1741999999999999</v>
      </c>
      <c r="C401" s="63">
        <f>6.1742 * CHOOSE(CONTROL!$C$22, $C$13, 100%, $E$13)</f>
        <v>6.1741999999999999</v>
      </c>
      <c r="D401" s="63">
        <f>6.1742 * CHOOSE(CONTROL!$C$22, $C$13, 100%, $E$13)</f>
        <v>6.1741999999999999</v>
      </c>
      <c r="E401" s="64">
        <f>7.4222 * CHOOSE(CONTROL!$C$22, $C$13, 100%, $E$13)</f>
        <v>7.4222000000000001</v>
      </c>
      <c r="F401" s="64">
        <f>7.4222 * CHOOSE(CONTROL!$C$22, $C$13, 100%, $E$13)</f>
        <v>7.4222000000000001</v>
      </c>
      <c r="G401" s="64">
        <f>7.4223 * CHOOSE(CONTROL!$C$22, $C$13, 100%, $E$13)</f>
        <v>7.4222999999999999</v>
      </c>
      <c r="H401" s="64">
        <f>12.4297* CHOOSE(CONTROL!$C$22, $C$13, 100%, $E$13)</f>
        <v>12.4297</v>
      </c>
      <c r="I401" s="64">
        <f>12.4298 * CHOOSE(CONTROL!$C$22, $C$13, 100%, $E$13)</f>
        <v>12.4298</v>
      </c>
      <c r="J401" s="64">
        <f>7.4222 * CHOOSE(CONTROL!$C$22, $C$13, 100%, $E$13)</f>
        <v>7.4222000000000001</v>
      </c>
      <c r="K401" s="64">
        <f>7.4223 * CHOOSE(CONTROL!$C$22, $C$13, 100%, $E$13)</f>
        <v>7.4222999999999999</v>
      </c>
    </row>
    <row r="402" spans="1:11" ht="15">
      <c r="A402" s="13">
        <v>53724</v>
      </c>
      <c r="B402" s="63">
        <f>6.1712 * CHOOSE(CONTROL!$C$22, $C$13, 100%, $E$13)</f>
        <v>6.1711999999999998</v>
      </c>
      <c r="C402" s="63">
        <f>6.1712 * CHOOSE(CONTROL!$C$22, $C$13, 100%, $E$13)</f>
        <v>6.1711999999999998</v>
      </c>
      <c r="D402" s="63">
        <f>6.1712 * CHOOSE(CONTROL!$C$22, $C$13, 100%, $E$13)</f>
        <v>6.1711999999999998</v>
      </c>
      <c r="E402" s="64">
        <f>7.3006 * CHOOSE(CONTROL!$C$22, $C$13, 100%, $E$13)</f>
        <v>7.3006000000000002</v>
      </c>
      <c r="F402" s="64">
        <f>7.3006 * CHOOSE(CONTROL!$C$22, $C$13, 100%, $E$13)</f>
        <v>7.3006000000000002</v>
      </c>
      <c r="G402" s="64">
        <f>7.3007 * CHOOSE(CONTROL!$C$22, $C$13, 100%, $E$13)</f>
        <v>7.3007</v>
      </c>
      <c r="H402" s="64">
        <f>12.4556* CHOOSE(CONTROL!$C$22, $C$13, 100%, $E$13)</f>
        <v>12.4556</v>
      </c>
      <c r="I402" s="64">
        <f>12.4557 * CHOOSE(CONTROL!$C$22, $C$13, 100%, $E$13)</f>
        <v>12.4557</v>
      </c>
      <c r="J402" s="64">
        <f>7.3006 * CHOOSE(CONTROL!$C$22, $C$13, 100%, $E$13)</f>
        <v>7.3006000000000002</v>
      </c>
      <c r="K402" s="64">
        <f>7.3007 * CHOOSE(CONTROL!$C$22, $C$13, 100%, $E$13)</f>
        <v>7.3007</v>
      </c>
    </row>
    <row r="403" spans="1:11" ht="15">
      <c r="A403" s="13">
        <v>53752</v>
      </c>
      <c r="B403" s="63">
        <f>6.1681 * CHOOSE(CONTROL!$C$22, $C$13, 100%, $E$13)</f>
        <v>6.1680999999999999</v>
      </c>
      <c r="C403" s="63">
        <f>6.1681 * CHOOSE(CONTROL!$C$22, $C$13, 100%, $E$13)</f>
        <v>6.1680999999999999</v>
      </c>
      <c r="D403" s="63">
        <f>6.1682 * CHOOSE(CONTROL!$C$22, $C$13, 100%, $E$13)</f>
        <v>6.1681999999999997</v>
      </c>
      <c r="E403" s="64">
        <f>7.3927 * CHOOSE(CONTROL!$C$22, $C$13, 100%, $E$13)</f>
        <v>7.3926999999999996</v>
      </c>
      <c r="F403" s="64">
        <f>7.3927 * CHOOSE(CONTROL!$C$22, $C$13, 100%, $E$13)</f>
        <v>7.3926999999999996</v>
      </c>
      <c r="G403" s="64">
        <f>7.3928 * CHOOSE(CONTROL!$C$22, $C$13, 100%, $E$13)</f>
        <v>7.3928000000000003</v>
      </c>
      <c r="H403" s="64">
        <f>12.4816* CHOOSE(CONTROL!$C$22, $C$13, 100%, $E$13)</f>
        <v>12.4816</v>
      </c>
      <c r="I403" s="64">
        <f>12.4817 * CHOOSE(CONTROL!$C$22, $C$13, 100%, $E$13)</f>
        <v>12.4817</v>
      </c>
      <c r="J403" s="64">
        <f>7.3927 * CHOOSE(CONTROL!$C$22, $C$13, 100%, $E$13)</f>
        <v>7.3926999999999996</v>
      </c>
      <c r="K403" s="64">
        <f>7.3928 * CHOOSE(CONTROL!$C$22, $C$13, 100%, $E$13)</f>
        <v>7.3928000000000003</v>
      </c>
    </row>
    <row r="404" spans="1:11" ht="15">
      <c r="A404" s="13">
        <v>53783</v>
      </c>
      <c r="B404" s="63">
        <f>6.1677 * CHOOSE(CONTROL!$C$22, $C$13, 100%, $E$13)</f>
        <v>6.1677</v>
      </c>
      <c r="C404" s="63">
        <f>6.1677 * CHOOSE(CONTROL!$C$22, $C$13, 100%, $E$13)</f>
        <v>6.1677</v>
      </c>
      <c r="D404" s="63">
        <f>6.1677 * CHOOSE(CONTROL!$C$22, $C$13, 100%, $E$13)</f>
        <v>6.1677</v>
      </c>
      <c r="E404" s="64">
        <f>7.4896 * CHOOSE(CONTROL!$C$22, $C$13, 100%, $E$13)</f>
        <v>7.4896000000000003</v>
      </c>
      <c r="F404" s="64">
        <f>7.4896 * CHOOSE(CONTROL!$C$22, $C$13, 100%, $E$13)</f>
        <v>7.4896000000000003</v>
      </c>
      <c r="G404" s="64">
        <f>7.4896 * CHOOSE(CONTROL!$C$22, $C$13, 100%, $E$13)</f>
        <v>7.4896000000000003</v>
      </c>
      <c r="H404" s="64">
        <f>12.5076* CHOOSE(CONTROL!$C$22, $C$13, 100%, $E$13)</f>
        <v>12.5076</v>
      </c>
      <c r="I404" s="64">
        <f>12.5077 * CHOOSE(CONTROL!$C$22, $C$13, 100%, $E$13)</f>
        <v>12.5077</v>
      </c>
      <c r="J404" s="64">
        <f>7.4896 * CHOOSE(CONTROL!$C$22, $C$13, 100%, $E$13)</f>
        <v>7.4896000000000003</v>
      </c>
      <c r="K404" s="64">
        <f>7.4896 * CHOOSE(CONTROL!$C$22, $C$13, 100%, $E$13)</f>
        <v>7.4896000000000003</v>
      </c>
    </row>
    <row r="405" spans="1:11" ht="15">
      <c r="A405" s="13">
        <v>53813</v>
      </c>
      <c r="B405" s="63">
        <f>6.1677 * CHOOSE(CONTROL!$C$22, $C$13, 100%, $E$13)</f>
        <v>6.1677</v>
      </c>
      <c r="C405" s="63">
        <f>6.1677 * CHOOSE(CONTROL!$C$22, $C$13, 100%, $E$13)</f>
        <v>6.1677</v>
      </c>
      <c r="D405" s="63">
        <f>6.1758 * CHOOSE(CONTROL!$C$22, $C$13, 100%, $E$13)</f>
        <v>6.1757999999999997</v>
      </c>
      <c r="E405" s="64">
        <f>7.5275 * CHOOSE(CONTROL!$C$22, $C$13, 100%, $E$13)</f>
        <v>7.5274999999999999</v>
      </c>
      <c r="F405" s="64">
        <f>7.5275 * CHOOSE(CONTROL!$C$22, $C$13, 100%, $E$13)</f>
        <v>7.5274999999999999</v>
      </c>
      <c r="G405" s="64">
        <f>7.5373 * CHOOSE(CONTROL!$C$22, $C$13, 100%, $E$13)</f>
        <v>7.5373000000000001</v>
      </c>
      <c r="H405" s="64">
        <f>12.5336* CHOOSE(CONTROL!$C$22, $C$13, 100%, $E$13)</f>
        <v>12.5336</v>
      </c>
      <c r="I405" s="64">
        <f>12.5435 * CHOOSE(CONTROL!$C$22, $C$13, 100%, $E$13)</f>
        <v>12.5435</v>
      </c>
      <c r="J405" s="64">
        <f>7.5275 * CHOOSE(CONTROL!$C$22, $C$13, 100%, $E$13)</f>
        <v>7.5274999999999999</v>
      </c>
      <c r="K405" s="64">
        <f>7.5373 * CHOOSE(CONTROL!$C$22, $C$13, 100%, $E$13)</f>
        <v>7.5373000000000001</v>
      </c>
    </row>
    <row r="406" spans="1:11" ht="15">
      <c r="A406" s="13">
        <v>53844</v>
      </c>
      <c r="B406" s="63">
        <f>6.1737 * CHOOSE(CONTROL!$C$22, $C$13, 100%, $E$13)</f>
        <v>6.1737000000000002</v>
      </c>
      <c r="C406" s="63">
        <f>6.1737 * CHOOSE(CONTROL!$C$22, $C$13, 100%, $E$13)</f>
        <v>6.1737000000000002</v>
      </c>
      <c r="D406" s="63">
        <f>6.1819 * CHOOSE(CONTROL!$C$22, $C$13, 100%, $E$13)</f>
        <v>6.1818999999999997</v>
      </c>
      <c r="E406" s="64">
        <f>7.4938 * CHOOSE(CONTROL!$C$22, $C$13, 100%, $E$13)</f>
        <v>7.4938000000000002</v>
      </c>
      <c r="F406" s="64">
        <f>7.4938 * CHOOSE(CONTROL!$C$22, $C$13, 100%, $E$13)</f>
        <v>7.4938000000000002</v>
      </c>
      <c r="G406" s="64">
        <f>7.5036 * CHOOSE(CONTROL!$C$22, $C$13, 100%, $E$13)</f>
        <v>7.5035999999999996</v>
      </c>
      <c r="H406" s="64">
        <f>12.5597* CHOOSE(CONTROL!$C$22, $C$13, 100%, $E$13)</f>
        <v>12.559699999999999</v>
      </c>
      <c r="I406" s="64">
        <f>12.5696 * CHOOSE(CONTROL!$C$22, $C$13, 100%, $E$13)</f>
        <v>12.569599999999999</v>
      </c>
      <c r="J406" s="64">
        <f>7.4938 * CHOOSE(CONTROL!$C$22, $C$13, 100%, $E$13)</f>
        <v>7.4938000000000002</v>
      </c>
      <c r="K406" s="64">
        <f>7.5036 * CHOOSE(CONTROL!$C$22, $C$13, 100%, $E$13)</f>
        <v>7.5035999999999996</v>
      </c>
    </row>
    <row r="407" spans="1:11" ht="15">
      <c r="A407" s="13">
        <v>53874</v>
      </c>
      <c r="B407" s="63">
        <f>6.273 * CHOOSE(CONTROL!$C$22, $C$13, 100%, $E$13)</f>
        <v>6.2729999999999997</v>
      </c>
      <c r="C407" s="63">
        <f>6.273 * CHOOSE(CONTROL!$C$22, $C$13, 100%, $E$13)</f>
        <v>6.2729999999999997</v>
      </c>
      <c r="D407" s="63">
        <f>6.2812 * CHOOSE(CONTROL!$C$22, $C$13, 100%, $E$13)</f>
        <v>6.2812000000000001</v>
      </c>
      <c r="E407" s="64">
        <f>7.6192 * CHOOSE(CONTROL!$C$22, $C$13, 100%, $E$13)</f>
        <v>7.6192000000000002</v>
      </c>
      <c r="F407" s="64">
        <f>7.6192 * CHOOSE(CONTROL!$C$22, $C$13, 100%, $E$13)</f>
        <v>7.6192000000000002</v>
      </c>
      <c r="G407" s="64">
        <f>7.629 * CHOOSE(CONTROL!$C$22, $C$13, 100%, $E$13)</f>
        <v>7.6289999999999996</v>
      </c>
      <c r="H407" s="64">
        <f>12.5859* CHOOSE(CONTROL!$C$22, $C$13, 100%, $E$13)</f>
        <v>12.585900000000001</v>
      </c>
      <c r="I407" s="64">
        <f>12.5957 * CHOOSE(CONTROL!$C$22, $C$13, 100%, $E$13)</f>
        <v>12.595700000000001</v>
      </c>
      <c r="J407" s="64">
        <f>7.6192 * CHOOSE(CONTROL!$C$22, $C$13, 100%, $E$13)</f>
        <v>7.6192000000000002</v>
      </c>
      <c r="K407" s="64">
        <f>7.629 * CHOOSE(CONTROL!$C$22, $C$13, 100%, $E$13)</f>
        <v>7.6289999999999996</v>
      </c>
    </row>
    <row r="408" spans="1:11" ht="15">
      <c r="A408" s="13">
        <v>53905</v>
      </c>
      <c r="B408" s="63">
        <f>6.2797 * CHOOSE(CONTROL!$C$22, $C$13, 100%, $E$13)</f>
        <v>6.2797000000000001</v>
      </c>
      <c r="C408" s="63">
        <f>6.2797 * CHOOSE(CONTROL!$C$22, $C$13, 100%, $E$13)</f>
        <v>6.2797000000000001</v>
      </c>
      <c r="D408" s="63">
        <f>6.2878 * CHOOSE(CONTROL!$C$22, $C$13, 100%, $E$13)</f>
        <v>6.2877999999999998</v>
      </c>
      <c r="E408" s="64">
        <f>7.5101 * CHOOSE(CONTROL!$C$22, $C$13, 100%, $E$13)</f>
        <v>7.5101000000000004</v>
      </c>
      <c r="F408" s="64">
        <f>7.5101 * CHOOSE(CONTROL!$C$22, $C$13, 100%, $E$13)</f>
        <v>7.5101000000000004</v>
      </c>
      <c r="G408" s="64">
        <f>7.5199 * CHOOSE(CONTROL!$C$22, $C$13, 100%, $E$13)</f>
        <v>7.5198999999999998</v>
      </c>
      <c r="H408" s="64">
        <f>12.6121* CHOOSE(CONTROL!$C$22, $C$13, 100%, $E$13)</f>
        <v>12.6121</v>
      </c>
      <c r="I408" s="64">
        <f>12.622 * CHOOSE(CONTROL!$C$22, $C$13, 100%, $E$13)</f>
        <v>12.622</v>
      </c>
      <c r="J408" s="64">
        <f>7.5101 * CHOOSE(CONTROL!$C$22, $C$13, 100%, $E$13)</f>
        <v>7.5101000000000004</v>
      </c>
      <c r="K408" s="64">
        <f>7.5199 * CHOOSE(CONTROL!$C$22, $C$13, 100%, $E$13)</f>
        <v>7.5198999999999998</v>
      </c>
    </row>
    <row r="409" spans="1:11" ht="15">
      <c r="A409" s="13">
        <v>53936</v>
      </c>
      <c r="B409" s="63">
        <f>6.2767 * CHOOSE(CONTROL!$C$22, $C$13, 100%, $E$13)</f>
        <v>6.2766999999999999</v>
      </c>
      <c r="C409" s="63">
        <f>6.2767 * CHOOSE(CONTROL!$C$22, $C$13, 100%, $E$13)</f>
        <v>6.2766999999999999</v>
      </c>
      <c r="D409" s="63">
        <f>6.2848 * CHOOSE(CONTROL!$C$22, $C$13, 100%, $E$13)</f>
        <v>6.2847999999999997</v>
      </c>
      <c r="E409" s="64">
        <f>7.4953 * CHOOSE(CONTROL!$C$22, $C$13, 100%, $E$13)</f>
        <v>7.4953000000000003</v>
      </c>
      <c r="F409" s="64">
        <f>7.4953 * CHOOSE(CONTROL!$C$22, $C$13, 100%, $E$13)</f>
        <v>7.4953000000000003</v>
      </c>
      <c r="G409" s="64">
        <f>7.5051 * CHOOSE(CONTROL!$C$22, $C$13, 100%, $E$13)</f>
        <v>7.5050999999999997</v>
      </c>
      <c r="H409" s="64">
        <f>12.6384* CHOOSE(CONTROL!$C$22, $C$13, 100%, $E$13)</f>
        <v>12.638400000000001</v>
      </c>
      <c r="I409" s="64">
        <f>12.6482 * CHOOSE(CONTROL!$C$22, $C$13, 100%, $E$13)</f>
        <v>12.648199999999999</v>
      </c>
      <c r="J409" s="64">
        <f>7.4953 * CHOOSE(CONTROL!$C$22, $C$13, 100%, $E$13)</f>
        <v>7.4953000000000003</v>
      </c>
      <c r="K409" s="64">
        <f>7.5051 * CHOOSE(CONTROL!$C$22, $C$13, 100%, $E$13)</f>
        <v>7.5050999999999997</v>
      </c>
    </row>
    <row r="410" spans="1:11" ht="15">
      <c r="A410" s="13">
        <v>53966</v>
      </c>
      <c r="B410" s="63">
        <f>6.2793 * CHOOSE(CONTROL!$C$22, $C$13, 100%, $E$13)</f>
        <v>6.2793000000000001</v>
      </c>
      <c r="C410" s="63">
        <f>6.2793 * CHOOSE(CONTROL!$C$22, $C$13, 100%, $E$13)</f>
        <v>6.2793000000000001</v>
      </c>
      <c r="D410" s="63">
        <f>6.2793 * CHOOSE(CONTROL!$C$22, $C$13, 100%, $E$13)</f>
        <v>6.2793000000000001</v>
      </c>
      <c r="E410" s="64">
        <f>7.5325 * CHOOSE(CONTROL!$C$22, $C$13, 100%, $E$13)</f>
        <v>7.5324999999999998</v>
      </c>
      <c r="F410" s="64">
        <f>7.5325 * CHOOSE(CONTROL!$C$22, $C$13, 100%, $E$13)</f>
        <v>7.5324999999999998</v>
      </c>
      <c r="G410" s="64">
        <f>7.5325 * CHOOSE(CONTROL!$C$22, $C$13, 100%, $E$13)</f>
        <v>7.5324999999999998</v>
      </c>
      <c r="H410" s="64">
        <f>12.6647* CHOOSE(CONTROL!$C$22, $C$13, 100%, $E$13)</f>
        <v>12.6647</v>
      </c>
      <c r="I410" s="64">
        <f>12.6648 * CHOOSE(CONTROL!$C$22, $C$13, 100%, $E$13)</f>
        <v>12.6648</v>
      </c>
      <c r="J410" s="64">
        <f>7.5325 * CHOOSE(CONTROL!$C$22, $C$13, 100%, $E$13)</f>
        <v>7.5324999999999998</v>
      </c>
      <c r="K410" s="64">
        <f>7.5325 * CHOOSE(CONTROL!$C$22, $C$13, 100%, $E$13)</f>
        <v>7.5324999999999998</v>
      </c>
    </row>
    <row r="411" spans="1:11" ht="15">
      <c r="A411" s="13">
        <v>53997</v>
      </c>
      <c r="B411" s="63">
        <f>6.2823 * CHOOSE(CONTROL!$C$22, $C$13, 100%, $E$13)</f>
        <v>6.2823000000000002</v>
      </c>
      <c r="C411" s="63">
        <f>6.2823 * CHOOSE(CONTROL!$C$22, $C$13, 100%, $E$13)</f>
        <v>6.2823000000000002</v>
      </c>
      <c r="D411" s="63">
        <f>6.2823 * CHOOSE(CONTROL!$C$22, $C$13, 100%, $E$13)</f>
        <v>6.2823000000000002</v>
      </c>
      <c r="E411" s="64">
        <f>7.5599 * CHOOSE(CONTROL!$C$22, $C$13, 100%, $E$13)</f>
        <v>7.5598999999999998</v>
      </c>
      <c r="F411" s="64">
        <f>7.5599 * CHOOSE(CONTROL!$C$22, $C$13, 100%, $E$13)</f>
        <v>7.5598999999999998</v>
      </c>
      <c r="G411" s="64">
        <f>7.5599 * CHOOSE(CONTROL!$C$22, $C$13, 100%, $E$13)</f>
        <v>7.5598999999999998</v>
      </c>
      <c r="H411" s="64">
        <f>12.6911* CHOOSE(CONTROL!$C$22, $C$13, 100%, $E$13)</f>
        <v>12.6911</v>
      </c>
      <c r="I411" s="64">
        <f>12.6912 * CHOOSE(CONTROL!$C$22, $C$13, 100%, $E$13)</f>
        <v>12.6912</v>
      </c>
      <c r="J411" s="64">
        <f>7.5599 * CHOOSE(CONTROL!$C$22, $C$13, 100%, $E$13)</f>
        <v>7.5598999999999998</v>
      </c>
      <c r="K411" s="64">
        <f>7.5599 * CHOOSE(CONTROL!$C$22, $C$13, 100%, $E$13)</f>
        <v>7.5598999999999998</v>
      </c>
    </row>
    <row r="412" spans="1:11" ht="15">
      <c r="A412" s="13">
        <v>54027</v>
      </c>
      <c r="B412" s="63">
        <f>6.2823 * CHOOSE(CONTROL!$C$22, $C$13, 100%, $E$13)</f>
        <v>6.2823000000000002</v>
      </c>
      <c r="C412" s="63">
        <f>6.2823 * CHOOSE(CONTROL!$C$22, $C$13, 100%, $E$13)</f>
        <v>6.2823000000000002</v>
      </c>
      <c r="D412" s="63">
        <f>6.2823 * CHOOSE(CONTROL!$C$22, $C$13, 100%, $E$13)</f>
        <v>6.2823000000000002</v>
      </c>
      <c r="E412" s="64">
        <f>7.4967 * CHOOSE(CONTROL!$C$22, $C$13, 100%, $E$13)</f>
        <v>7.4966999999999997</v>
      </c>
      <c r="F412" s="64">
        <f>7.4967 * CHOOSE(CONTROL!$C$22, $C$13, 100%, $E$13)</f>
        <v>7.4966999999999997</v>
      </c>
      <c r="G412" s="64">
        <f>7.4967 * CHOOSE(CONTROL!$C$22, $C$13, 100%, $E$13)</f>
        <v>7.4966999999999997</v>
      </c>
      <c r="H412" s="64">
        <f>12.7176* CHOOSE(CONTROL!$C$22, $C$13, 100%, $E$13)</f>
        <v>12.717599999999999</v>
      </c>
      <c r="I412" s="64">
        <f>12.7176 * CHOOSE(CONTROL!$C$22, $C$13, 100%, $E$13)</f>
        <v>12.717599999999999</v>
      </c>
      <c r="J412" s="64">
        <f>7.4967 * CHOOSE(CONTROL!$C$22, $C$13, 100%, $E$13)</f>
        <v>7.4966999999999997</v>
      </c>
      <c r="K412" s="64">
        <f>7.4967 * CHOOSE(CONTROL!$C$22, $C$13, 100%, $E$13)</f>
        <v>7.4966999999999997</v>
      </c>
    </row>
    <row r="413" spans="1:11" ht="15">
      <c r="A413" s="13">
        <v>54058</v>
      </c>
      <c r="B413" s="63">
        <f>6.3372 * CHOOSE(CONTROL!$C$22, $C$13, 100%, $E$13)</f>
        <v>6.3372000000000002</v>
      </c>
      <c r="C413" s="63">
        <f>6.3372 * CHOOSE(CONTROL!$C$22, $C$13, 100%, $E$13)</f>
        <v>6.3372000000000002</v>
      </c>
      <c r="D413" s="63">
        <f>6.3372 * CHOOSE(CONTROL!$C$22, $C$13, 100%, $E$13)</f>
        <v>6.3372000000000002</v>
      </c>
      <c r="E413" s="64">
        <f>7.6035 * CHOOSE(CONTROL!$C$22, $C$13, 100%, $E$13)</f>
        <v>7.6035000000000004</v>
      </c>
      <c r="F413" s="64">
        <f>7.6035 * CHOOSE(CONTROL!$C$22, $C$13, 100%, $E$13)</f>
        <v>7.6035000000000004</v>
      </c>
      <c r="G413" s="64">
        <f>7.6036 * CHOOSE(CONTROL!$C$22, $C$13, 100%, $E$13)</f>
        <v>7.6036000000000001</v>
      </c>
      <c r="H413" s="64">
        <f>12.7441* CHOOSE(CONTROL!$C$22, $C$13, 100%, $E$13)</f>
        <v>12.7441</v>
      </c>
      <c r="I413" s="64">
        <f>12.7441 * CHOOSE(CONTROL!$C$22, $C$13, 100%, $E$13)</f>
        <v>12.7441</v>
      </c>
      <c r="J413" s="64">
        <f>7.6035 * CHOOSE(CONTROL!$C$22, $C$13, 100%, $E$13)</f>
        <v>7.6035000000000004</v>
      </c>
      <c r="K413" s="64">
        <f>7.6036 * CHOOSE(CONTROL!$C$22, $C$13, 100%, $E$13)</f>
        <v>7.6036000000000001</v>
      </c>
    </row>
    <row r="414" spans="1:11" ht="15">
      <c r="A414" s="13">
        <v>54089</v>
      </c>
      <c r="B414" s="63">
        <f>6.3341 * CHOOSE(CONTROL!$C$22, $C$13, 100%, $E$13)</f>
        <v>6.3341000000000003</v>
      </c>
      <c r="C414" s="63">
        <f>6.3341 * CHOOSE(CONTROL!$C$22, $C$13, 100%, $E$13)</f>
        <v>6.3341000000000003</v>
      </c>
      <c r="D414" s="63">
        <f>6.3341 * CHOOSE(CONTROL!$C$22, $C$13, 100%, $E$13)</f>
        <v>6.3341000000000003</v>
      </c>
      <c r="E414" s="64">
        <f>7.4786 * CHOOSE(CONTROL!$C$22, $C$13, 100%, $E$13)</f>
        <v>7.4786000000000001</v>
      </c>
      <c r="F414" s="64">
        <f>7.4786 * CHOOSE(CONTROL!$C$22, $C$13, 100%, $E$13)</f>
        <v>7.4786000000000001</v>
      </c>
      <c r="G414" s="64">
        <f>7.4787 * CHOOSE(CONTROL!$C$22, $C$13, 100%, $E$13)</f>
        <v>7.4786999999999999</v>
      </c>
      <c r="H414" s="64">
        <f>12.7706* CHOOSE(CONTROL!$C$22, $C$13, 100%, $E$13)</f>
        <v>12.7706</v>
      </c>
      <c r="I414" s="64">
        <f>12.7707 * CHOOSE(CONTROL!$C$22, $C$13, 100%, $E$13)</f>
        <v>12.7707</v>
      </c>
      <c r="J414" s="64">
        <f>7.4786 * CHOOSE(CONTROL!$C$22, $C$13, 100%, $E$13)</f>
        <v>7.4786000000000001</v>
      </c>
      <c r="K414" s="64">
        <f>7.4787 * CHOOSE(CONTROL!$C$22, $C$13, 100%, $E$13)</f>
        <v>7.4786999999999999</v>
      </c>
    </row>
    <row r="415" spans="1:11" ht="15">
      <c r="A415" s="13">
        <v>54118</v>
      </c>
      <c r="B415" s="63">
        <f>6.3311 * CHOOSE(CONTROL!$C$22, $C$13, 100%, $E$13)</f>
        <v>6.3311000000000002</v>
      </c>
      <c r="C415" s="63">
        <f>6.3311 * CHOOSE(CONTROL!$C$22, $C$13, 100%, $E$13)</f>
        <v>6.3311000000000002</v>
      </c>
      <c r="D415" s="63">
        <f>6.3311 * CHOOSE(CONTROL!$C$22, $C$13, 100%, $E$13)</f>
        <v>6.3311000000000002</v>
      </c>
      <c r="E415" s="64">
        <f>7.5733 * CHOOSE(CONTROL!$C$22, $C$13, 100%, $E$13)</f>
        <v>7.5732999999999997</v>
      </c>
      <c r="F415" s="64">
        <f>7.5733 * CHOOSE(CONTROL!$C$22, $C$13, 100%, $E$13)</f>
        <v>7.5732999999999997</v>
      </c>
      <c r="G415" s="64">
        <f>7.5734 * CHOOSE(CONTROL!$C$22, $C$13, 100%, $E$13)</f>
        <v>7.5734000000000004</v>
      </c>
      <c r="H415" s="64">
        <f>12.7972* CHOOSE(CONTROL!$C$22, $C$13, 100%, $E$13)</f>
        <v>12.7972</v>
      </c>
      <c r="I415" s="64">
        <f>12.7973 * CHOOSE(CONTROL!$C$22, $C$13, 100%, $E$13)</f>
        <v>12.7973</v>
      </c>
      <c r="J415" s="64">
        <f>7.5733 * CHOOSE(CONTROL!$C$22, $C$13, 100%, $E$13)</f>
        <v>7.5732999999999997</v>
      </c>
      <c r="K415" s="64">
        <f>7.5734 * CHOOSE(CONTROL!$C$22, $C$13, 100%, $E$13)</f>
        <v>7.5734000000000004</v>
      </c>
    </row>
    <row r="416" spans="1:11" ht="15">
      <c r="A416" s="13">
        <v>54149</v>
      </c>
      <c r="B416" s="63">
        <f>6.3307 * CHOOSE(CONTROL!$C$22, $C$13, 100%, $E$13)</f>
        <v>6.3307000000000002</v>
      </c>
      <c r="C416" s="63">
        <f>6.3307 * CHOOSE(CONTROL!$C$22, $C$13, 100%, $E$13)</f>
        <v>6.3307000000000002</v>
      </c>
      <c r="D416" s="63">
        <f>6.3307 * CHOOSE(CONTROL!$C$22, $C$13, 100%, $E$13)</f>
        <v>6.3307000000000002</v>
      </c>
      <c r="E416" s="64">
        <f>7.673 * CHOOSE(CONTROL!$C$22, $C$13, 100%, $E$13)</f>
        <v>7.673</v>
      </c>
      <c r="F416" s="64">
        <f>7.673 * CHOOSE(CONTROL!$C$22, $C$13, 100%, $E$13)</f>
        <v>7.673</v>
      </c>
      <c r="G416" s="64">
        <f>7.6731 * CHOOSE(CONTROL!$C$22, $C$13, 100%, $E$13)</f>
        <v>7.6730999999999998</v>
      </c>
      <c r="H416" s="64">
        <f>12.8239* CHOOSE(CONTROL!$C$22, $C$13, 100%, $E$13)</f>
        <v>12.8239</v>
      </c>
      <c r="I416" s="64">
        <f>12.824 * CHOOSE(CONTROL!$C$22, $C$13, 100%, $E$13)</f>
        <v>12.824</v>
      </c>
      <c r="J416" s="64">
        <f>7.673 * CHOOSE(CONTROL!$C$22, $C$13, 100%, $E$13)</f>
        <v>7.673</v>
      </c>
      <c r="K416" s="64">
        <f>7.6731 * CHOOSE(CONTROL!$C$22, $C$13, 100%, $E$13)</f>
        <v>7.6730999999999998</v>
      </c>
    </row>
    <row r="417" spans="1:11" ht="15">
      <c r="A417" s="13">
        <v>54179</v>
      </c>
      <c r="B417" s="63">
        <f>6.3307 * CHOOSE(CONTROL!$C$22, $C$13, 100%, $E$13)</f>
        <v>6.3307000000000002</v>
      </c>
      <c r="C417" s="63">
        <f>6.3307 * CHOOSE(CONTROL!$C$22, $C$13, 100%, $E$13)</f>
        <v>6.3307000000000002</v>
      </c>
      <c r="D417" s="63">
        <f>6.3389 * CHOOSE(CONTROL!$C$22, $C$13, 100%, $E$13)</f>
        <v>6.3388999999999998</v>
      </c>
      <c r="E417" s="64">
        <f>7.712 * CHOOSE(CONTROL!$C$22, $C$13, 100%, $E$13)</f>
        <v>7.7119999999999997</v>
      </c>
      <c r="F417" s="64">
        <f>7.712 * CHOOSE(CONTROL!$C$22, $C$13, 100%, $E$13)</f>
        <v>7.7119999999999997</v>
      </c>
      <c r="G417" s="64">
        <f>7.7218 * CHOOSE(CONTROL!$C$22, $C$13, 100%, $E$13)</f>
        <v>7.7218</v>
      </c>
      <c r="H417" s="64">
        <f>12.8506* CHOOSE(CONTROL!$C$22, $C$13, 100%, $E$13)</f>
        <v>12.8506</v>
      </c>
      <c r="I417" s="64">
        <f>12.8604 * CHOOSE(CONTROL!$C$22, $C$13, 100%, $E$13)</f>
        <v>12.8604</v>
      </c>
      <c r="J417" s="64">
        <f>7.712 * CHOOSE(CONTROL!$C$22, $C$13, 100%, $E$13)</f>
        <v>7.7119999999999997</v>
      </c>
      <c r="K417" s="64">
        <f>7.7218 * CHOOSE(CONTROL!$C$22, $C$13, 100%, $E$13)</f>
        <v>7.7218</v>
      </c>
    </row>
    <row r="418" spans="1:11" ht="15">
      <c r="A418" s="13">
        <v>54210</v>
      </c>
      <c r="B418" s="63">
        <f>6.3368 * CHOOSE(CONTROL!$C$22, $C$13, 100%, $E$13)</f>
        <v>6.3368000000000002</v>
      </c>
      <c r="C418" s="63">
        <f>6.3368 * CHOOSE(CONTROL!$C$22, $C$13, 100%, $E$13)</f>
        <v>6.3368000000000002</v>
      </c>
      <c r="D418" s="63">
        <f>6.3449 * CHOOSE(CONTROL!$C$22, $C$13, 100%, $E$13)</f>
        <v>6.3449</v>
      </c>
      <c r="E418" s="64">
        <f>7.6773 * CHOOSE(CONTROL!$C$22, $C$13, 100%, $E$13)</f>
        <v>7.6772999999999998</v>
      </c>
      <c r="F418" s="64">
        <f>7.6773 * CHOOSE(CONTROL!$C$22, $C$13, 100%, $E$13)</f>
        <v>7.6772999999999998</v>
      </c>
      <c r="G418" s="64">
        <f>7.6871 * CHOOSE(CONTROL!$C$22, $C$13, 100%, $E$13)</f>
        <v>7.6871</v>
      </c>
      <c r="H418" s="64">
        <f>12.8774* CHOOSE(CONTROL!$C$22, $C$13, 100%, $E$13)</f>
        <v>12.8774</v>
      </c>
      <c r="I418" s="64">
        <f>12.8872 * CHOOSE(CONTROL!$C$22, $C$13, 100%, $E$13)</f>
        <v>12.8872</v>
      </c>
      <c r="J418" s="64">
        <f>7.6773 * CHOOSE(CONTROL!$C$22, $C$13, 100%, $E$13)</f>
        <v>7.6772999999999998</v>
      </c>
      <c r="K418" s="64">
        <f>7.6871 * CHOOSE(CONTROL!$C$22, $C$13, 100%, $E$13)</f>
        <v>7.6871</v>
      </c>
    </row>
    <row r="419" spans="1:11" ht="15">
      <c r="A419" s="13">
        <v>54240</v>
      </c>
      <c r="B419" s="63">
        <f>6.4385 * CHOOSE(CONTROL!$C$22, $C$13, 100%, $E$13)</f>
        <v>6.4385000000000003</v>
      </c>
      <c r="C419" s="63">
        <f>6.4385 * CHOOSE(CONTROL!$C$22, $C$13, 100%, $E$13)</f>
        <v>6.4385000000000003</v>
      </c>
      <c r="D419" s="63">
        <f>6.4466 * CHOOSE(CONTROL!$C$22, $C$13, 100%, $E$13)</f>
        <v>6.4466000000000001</v>
      </c>
      <c r="E419" s="64">
        <f>7.8054 * CHOOSE(CONTROL!$C$22, $C$13, 100%, $E$13)</f>
        <v>7.8053999999999997</v>
      </c>
      <c r="F419" s="64">
        <f>7.8054 * CHOOSE(CONTROL!$C$22, $C$13, 100%, $E$13)</f>
        <v>7.8053999999999997</v>
      </c>
      <c r="G419" s="64">
        <f>7.8153 * CHOOSE(CONTROL!$C$22, $C$13, 100%, $E$13)</f>
        <v>7.8152999999999997</v>
      </c>
      <c r="H419" s="64">
        <f>12.9042* CHOOSE(CONTROL!$C$22, $C$13, 100%, $E$13)</f>
        <v>12.904199999999999</v>
      </c>
      <c r="I419" s="64">
        <f>12.914 * CHOOSE(CONTROL!$C$22, $C$13, 100%, $E$13)</f>
        <v>12.914</v>
      </c>
      <c r="J419" s="64">
        <f>7.8054 * CHOOSE(CONTROL!$C$22, $C$13, 100%, $E$13)</f>
        <v>7.8053999999999997</v>
      </c>
      <c r="K419" s="64">
        <f>7.8153 * CHOOSE(CONTROL!$C$22, $C$13, 100%, $E$13)</f>
        <v>7.8152999999999997</v>
      </c>
    </row>
    <row r="420" spans="1:11" ht="15">
      <c r="A420" s="13">
        <v>54271</v>
      </c>
      <c r="B420" s="63">
        <f>6.4451 * CHOOSE(CONTROL!$C$22, $C$13, 100%, $E$13)</f>
        <v>6.4451000000000001</v>
      </c>
      <c r="C420" s="63">
        <f>6.4451 * CHOOSE(CONTROL!$C$22, $C$13, 100%, $E$13)</f>
        <v>6.4451000000000001</v>
      </c>
      <c r="D420" s="63">
        <f>6.4533 * CHOOSE(CONTROL!$C$22, $C$13, 100%, $E$13)</f>
        <v>6.4532999999999996</v>
      </c>
      <c r="E420" s="64">
        <f>7.6932 * CHOOSE(CONTROL!$C$22, $C$13, 100%, $E$13)</f>
        <v>7.6932</v>
      </c>
      <c r="F420" s="64">
        <f>7.6932 * CHOOSE(CONTROL!$C$22, $C$13, 100%, $E$13)</f>
        <v>7.6932</v>
      </c>
      <c r="G420" s="64">
        <f>7.703 * CHOOSE(CONTROL!$C$22, $C$13, 100%, $E$13)</f>
        <v>7.7030000000000003</v>
      </c>
      <c r="H420" s="64">
        <f>12.9311* CHOOSE(CONTROL!$C$22, $C$13, 100%, $E$13)</f>
        <v>12.931100000000001</v>
      </c>
      <c r="I420" s="64">
        <f>12.9409 * CHOOSE(CONTROL!$C$22, $C$13, 100%, $E$13)</f>
        <v>12.940899999999999</v>
      </c>
      <c r="J420" s="64">
        <f>7.6932 * CHOOSE(CONTROL!$C$22, $C$13, 100%, $E$13)</f>
        <v>7.6932</v>
      </c>
      <c r="K420" s="64">
        <f>7.703 * CHOOSE(CONTROL!$C$22, $C$13, 100%, $E$13)</f>
        <v>7.7030000000000003</v>
      </c>
    </row>
    <row r="421" spans="1:11" ht="15">
      <c r="A421" s="13">
        <v>54302</v>
      </c>
      <c r="B421" s="63">
        <f>6.4421 * CHOOSE(CONTROL!$C$22, $C$13, 100%, $E$13)</f>
        <v>6.4420999999999999</v>
      </c>
      <c r="C421" s="63">
        <f>6.4421 * CHOOSE(CONTROL!$C$22, $C$13, 100%, $E$13)</f>
        <v>6.4420999999999999</v>
      </c>
      <c r="D421" s="63">
        <f>6.4502 * CHOOSE(CONTROL!$C$22, $C$13, 100%, $E$13)</f>
        <v>6.4501999999999997</v>
      </c>
      <c r="E421" s="64">
        <f>7.678 * CHOOSE(CONTROL!$C$22, $C$13, 100%, $E$13)</f>
        <v>7.6779999999999999</v>
      </c>
      <c r="F421" s="64">
        <f>7.678 * CHOOSE(CONTROL!$C$22, $C$13, 100%, $E$13)</f>
        <v>7.6779999999999999</v>
      </c>
      <c r="G421" s="64">
        <f>7.6879 * CHOOSE(CONTROL!$C$22, $C$13, 100%, $E$13)</f>
        <v>7.6879</v>
      </c>
      <c r="H421" s="64">
        <f>12.958* CHOOSE(CONTROL!$C$22, $C$13, 100%, $E$13)</f>
        <v>12.958</v>
      </c>
      <c r="I421" s="64">
        <f>12.9678 * CHOOSE(CONTROL!$C$22, $C$13, 100%, $E$13)</f>
        <v>12.9678</v>
      </c>
      <c r="J421" s="64">
        <f>7.678 * CHOOSE(CONTROL!$C$22, $C$13, 100%, $E$13)</f>
        <v>7.6779999999999999</v>
      </c>
      <c r="K421" s="64">
        <f>7.6879 * CHOOSE(CONTROL!$C$22, $C$13, 100%, $E$13)</f>
        <v>7.6879</v>
      </c>
    </row>
    <row r="422" spans="1:11" ht="15">
      <c r="A422" s="13">
        <v>54332</v>
      </c>
      <c r="B422" s="63">
        <f>6.4452 * CHOOSE(CONTROL!$C$22, $C$13, 100%, $E$13)</f>
        <v>6.4451999999999998</v>
      </c>
      <c r="C422" s="63">
        <f>6.4452 * CHOOSE(CONTROL!$C$22, $C$13, 100%, $E$13)</f>
        <v>6.4451999999999998</v>
      </c>
      <c r="D422" s="63">
        <f>6.4452 * CHOOSE(CONTROL!$C$22, $C$13, 100%, $E$13)</f>
        <v>6.4451999999999998</v>
      </c>
      <c r="E422" s="64">
        <f>7.7166 * CHOOSE(CONTROL!$C$22, $C$13, 100%, $E$13)</f>
        <v>7.7165999999999997</v>
      </c>
      <c r="F422" s="64">
        <f>7.7166 * CHOOSE(CONTROL!$C$22, $C$13, 100%, $E$13)</f>
        <v>7.7165999999999997</v>
      </c>
      <c r="G422" s="64">
        <f>7.7167 * CHOOSE(CONTROL!$C$22, $C$13, 100%, $E$13)</f>
        <v>7.7167000000000003</v>
      </c>
      <c r="H422" s="64">
        <f>12.985* CHOOSE(CONTROL!$C$22, $C$13, 100%, $E$13)</f>
        <v>12.984999999999999</v>
      </c>
      <c r="I422" s="64">
        <f>12.9851 * CHOOSE(CONTROL!$C$22, $C$13, 100%, $E$13)</f>
        <v>12.985099999999999</v>
      </c>
      <c r="J422" s="64">
        <f>7.7166 * CHOOSE(CONTROL!$C$22, $C$13, 100%, $E$13)</f>
        <v>7.7165999999999997</v>
      </c>
      <c r="K422" s="64">
        <f>7.7167 * CHOOSE(CONTROL!$C$22, $C$13, 100%, $E$13)</f>
        <v>7.7167000000000003</v>
      </c>
    </row>
    <row r="423" spans="1:11" ht="15">
      <c r="A423" s="13">
        <v>54363</v>
      </c>
      <c r="B423" s="63">
        <f>6.4483 * CHOOSE(CONTROL!$C$22, $C$13, 100%, $E$13)</f>
        <v>6.4482999999999997</v>
      </c>
      <c r="C423" s="63">
        <f>6.4483 * CHOOSE(CONTROL!$C$22, $C$13, 100%, $E$13)</f>
        <v>6.4482999999999997</v>
      </c>
      <c r="D423" s="63">
        <f>6.4483 * CHOOSE(CONTROL!$C$22, $C$13, 100%, $E$13)</f>
        <v>6.4482999999999997</v>
      </c>
      <c r="E423" s="64">
        <f>7.7447 * CHOOSE(CONTROL!$C$22, $C$13, 100%, $E$13)</f>
        <v>7.7446999999999999</v>
      </c>
      <c r="F423" s="64">
        <f>7.7447 * CHOOSE(CONTROL!$C$22, $C$13, 100%, $E$13)</f>
        <v>7.7446999999999999</v>
      </c>
      <c r="G423" s="64">
        <f>7.7448 * CHOOSE(CONTROL!$C$22, $C$13, 100%, $E$13)</f>
        <v>7.7447999999999997</v>
      </c>
      <c r="H423" s="64">
        <f>13.0121* CHOOSE(CONTROL!$C$22, $C$13, 100%, $E$13)</f>
        <v>13.0121</v>
      </c>
      <c r="I423" s="64">
        <f>13.0121 * CHOOSE(CONTROL!$C$22, $C$13, 100%, $E$13)</f>
        <v>13.0121</v>
      </c>
      <c r="J423" s="64">
        <f>7.7447 * CHOOSE(CONTROL!$C$22, $C$13, 100%, $E$13)</f>
        <v>7.7446999999999999</v>
      </c>
      <c r="K423" s="64">
        <f>7.7448 * CHOOSE(CONTROL!$C$22, $C$13, 100%, $E$13)</f>
        <v>7.7447999999999997</v>
      </c>
    </row>
    <row r="424" spans="1:11" ht="15">
      <c r="A424" s="13">
        <v>54393</v>
      </c>
      <c r="B424" s="63">
        <f>6.4483 * CHOOSE(CONTROL!$C$22, $C$13, 100%, $E$13)</f>
        <v>6.4482999999999997</v>
      </c>
      <c r="C424" s="63">
        <f>6.4483 * CHOOSE(CONTROL!$C$22, $C$13, 100%, $E$13)</f>
        <v>6.4482999999999997</v>
      </c>
      <c r="D424" s="63">
        <f>6.4483 * CHOOSE(CONTROL!$C$22, $C$13, 100%, $E$13)</f>
        <v>6.4482999999999997</v>
      </c>
      <c r="E424" s="64">
        <f>7.6797 * CHOOSE(CONTROL!$C$22, $C$13, 100%, $E$13)</f>
        <v>7.6797000000000004</v>
      </c>
      <c r="F424" s="64">
        <f>7.6797 * CHOOSE(CONTROL!$C$22, $C$13, 100%, $E$13)</f>
        <v>7.6797000000000004</v>
      </c>
      <c r="G424" s="64">
        <f>7.6798 * CHOOSE(CONTROL!$C$22, $C$13, 100%, $E$13)</f>
        <v>7.6798000000000002</v>
      </c>
      <c r="H424" s="64">
        <f>13.0392* CHOOSE(CONTROL!$C$22, $C$13, 100%, $E$13)</f>
        <v>13.039199999999999</v>
      </c>
      <c r="I424" s="64">
        <f>13.0392 * CHOOSE(CONTROL!$C$22, $C$13, 100%, $E$13)</f>
        <v>13.039199999999999</v>
      </c>
      <c r="J424" s="64">
        <f>7.6797 * CHOOSE(CONTROL!$C$22, $C$13, 100%, $E$13)</f>
        <v>7.6797000000000004</v>
      </c>
      <c r="K424" s="64">
        <f>7.6798 * CHOOSE(CONTROL!$C$22, $C$13, 100%, $E$13)</f>
        <v>7.6798000000000002</v>
      </c>
    </row>
    <row r="425" spans="1:11" ht="15">
      <c r="A425" s="13">
        <v>54424</v>
      </c>
      <c r="B425" s="63">
        <f>6.5044 * CHOOSE(CONTROL!$C$22, $C$13, 100%, $E$13)</f>
        <v>6.5044000000000004</v>
      </c>
      <c r="C425" s="63">
        <f>6.5044 * CHOOSE(CONTROL!$C$22, $C$13, 100%, $E$13)</f>
        <v>6.5044000000000004</v>
      </c>
      <c r="D425" s="63">
        <f>6.5045 * CHOOSE(CONTROL!$C$22, $C$13, 100%, $E$13)</f>
        <v>6.5045000000000002</v>
      </c>
      <c r="E425" s="64">
        <f>7.7893 * CHOOSE(CONTROL!$C$22, $C$13, 100%, $E$13)</f>
        <v>7.7892999999999999</v>
      </c>
      <c r="F425" s="64">
        <f>7.7893 * CHOOSE(CONTROL!$C$22, $C$13, 100%, $E$13)</f>
        <v>7.7892999999999999</v>
      </c>
      <c r="G425" s="64">
        <f>7.7894 * CHOOSE(CONTROL!$C$22, $C$13, 100%, $E$13)</f>
        <v>7.7893999999999997</v>
      </c>
      <c r="H425" s="64">
        <f>13.0663* CHOOSE(CONTROL!$C$22, $C$13, 100%, $E$13)</f>
        <v>13.0663</v>
      </c>
      <c r="I425" s="64">
        <f>13.0664 * CHOOSE(CONTROL!$C$22, $C$13, 100%, $E$13)</f>
        <v>13.0664</v>
      </c>
      <c r="J425" s="64">
        <f>7.7893 * CHOOSE(CONTROL!$C$22, $C$13, 100%, $E$13)</f>
        <v>7.7892999999999999</v>
      </c>
      <c r="K425" s="64">
        <f>7.7894 * CHOOSE(CONTROL!$C$22, $C$13, 100%, $E$13)</f>
        <v>7.7893999999999997</v>
      </c>
    </row>
    <row r="426" spans="1:11" ht="15">
      <c r="A426" s="13">
        <v>54455</v>
      </c>
      <c r="B426" s="63">
        <f>6.5014 * CHOOSE(CONTROL!$C$22, $C$13, 100%, $E$13)</f>
        <v>6.5014000000000003</v>
      </c>
      <c r="C426" s="63">
        <f>6.5014 * CHOOSE(CONTROL!$C$22, $C$13, 100%, $E$13)</f>
        <v>6.5014000000000003</v>
      </c>
      <c r="D426" s="63">
        <f>6.5014 * CHOOSE(CONTROL!$C$22, $C$13, 100%, $E$13)</f>
        <v>6.5014000000000003</v>
      </c>
      <c r="E426" s="64">
        <f>7.661 * CHOOSE(CONTROL!$C$22, $C$13, 100%, $E$13)</f>
        <v>7.6609999999999996</v>
      </c>
      <c r="F426" s="64">
        <f>7.661 * CHOOSE(CONTROL!$C$22, $C$13, 100%, $E$13)</f>
        <v>7.6609999999999996</v>
      </c>
      <c r="G426" s="64">
        <f>7.6611 * CHOOSE(CONTROL!$C$22, $C$13, 100%, $E$13)</f>
        <v>7.6611000000000002</v>
      </c>
      <c r="H426" s="64">
        <f>13.0936* CHOOSE(CONTROL!$C$22, $C$13, 100%, $E$13)</f>
        <v>13.0936</v>
      </c>
      <c r="I426" s="64">
        <f>13.0936 * CHOOSE(CONTROL!$C$22, $C$13, 100%, $E$13)</f>
        <v>13.0936</v>
      </c>
      <c r="J426" s="64">
        <f>7.661 * CHOOSE(CONTROL!$C$22, $C$13, 100%, $E$13)</f>
        <v>7.6609999999999996</v>
      </c>
      <c r="K426" s="64">
        <f>7.6611 * CHOOSE(CONTROL!$C$22, $C$13, 100%, $E$13)</f>
        <v>7.6611000000000002</v>
      </c>
    </row>
    <row r="427" spans="1:11" ht="15">
      <c r="A427" s="13">
        <v>54483</v>
      </c>
      <c r="B427" s="63">
        <f>6.4984 * CHOOSE(CONTROL!$C$22, $C$13, 100%, $E$13)</f>
        <v>6.4984000000000002</v>
      </c>
      <c r="C427" s="63">
        <f>6.4984 * CHOOSE(CONTROL!$C$22, $C$13, 100%, $E$13)</f>
        <v>6.4984000000000002</v>
      </c>
      <c r="D427" s="63">
        <f>6.4984 * CHOOSE(CONTROL!$C$22, $C$13, 100%, $E$13)</f>
        <v>6.4984000000000002</v>
      </c>
      <c r="E427" s="64">
        <f>7.7584 * CHOOSE(CONTROL!$C$22, $C$13, 100%, $E$13)</f>
        <v>7.7584</v>
      </c>
      <c r="F427" s="64">
        <f>7.7584 * CHOOSE(CONTROL!$C$22, $C$13, 100%, $E$13)</f>
        <v>7.7584</v>
      </c>
      <c r="G427" s="64">
        <f>7.7585 * CHOOSE(CONTROL!$C$22, $C$13, 100%, $E$13)</f>
        <v>7.7584999999999997</v>
      </c>
      <c r="H427" s="64">
        <f>13.1208* CHOOSE(CONTROL!$C$22, $C$13, 100%, $E$13)</f>
        <v>13.120799999999999</v>
      </c>
      <c r="I427" s="64">
        <f>13.1209 * CHOOSE(CONTROL!$C$22, $C$13, 100%, $E$13)</f>
        <v>13.120900000000001</v>
      </c>
      <c r="J427" s="64">
        <f>7.7584 * CHOOSE(CONTROL!$C$22, $C$13, 100%, $E$13)</f>
        <v>7.7584</v>
      </c>
      <c r="K427" s="64">
        <f>7.7585 * CHOOSE(CONTROL!$C$22, $C$13, 100%, $E$13)</f>
        <v>7.7584999999999997</v>
      </c>
    </row>
    <row r="428" spans="1:11" ht="15">
      <c r="A428" s="13">
        <v>54514</v>
      </c>
      <c r="B428" s="63">
        <f>6.4982 * CHOOSE(CONTROL!$C$22, $C$13, 100%, $E$13)</f>
        <v>6.4981999999999998</v>
      </c>
      <c r="C428" s="63">
        <f>6.4982 * CHOOSE(CONTROL!$C$22, $C$13, 100%, $E$13)</f>
        <v>6.4981999999999998</v>
      </c>
      <c r="D428" s="63">
        <f>6.4982 * CHOOSE(CONTROL!$C$22, $C$13, 100%, $E$13)</f>
        <v>6.4981999999999998</v>
      </c>
      <c r="E428" s="64">
        <f>7.861 * CHOOSE(CONTROL!$C$22, $C$13, 100%, $E$13)</f>
        <v>7.8609999999999998</v>
      </c>
      <c r="F428" s="64">
        <f>7.861 * CHOOSE(CONTROL!$C$22, $C$13, 100%, $E$13)</f>
        <v>7.8609999999999998</v>
      </c>
      <c r="G428" s="64">
        <f>7.8611 * CHOOSE(CONTROL!$C$22, $C$13, 100%, $E$13)</f>
        <v>7.8611000000000004</v>
      </c>
      <c r="H428" s="64">
        <f>13.1482* CHOOSE(CONTROL!$C$22, $C$13, 100%, $E$13)</f>
        <v>13.148199999999999</v>
      </c>
      <c r="I428" s="64">
        <f>13.1482 * CHOOSE(CONTROL!$C$22, $C$13, 100%, $E$13)</f>
        <v>13.148199999999999</v>
      </c>
      <c r="J428" s="64">
        <f>7.861 * CHOOSE(CONTROL!$C$22, $C$13, 100%, $E$13)</f>
        <v>7.8609999999999998</v>
      </c>
      <c r="K428" s="64">
        <f>7.8611 * CHOOSE(CONTROL!$C$22, $C$13, 100%, $E$13)</f>
        <v>7.8611000000000004</v>
      </c>
    </row>
    <row r="429" spans="1:11" ht="15">
      <c r="A429" s="13">
        <v>54544</v>
      </c>
      <c r="B429" s="63">
        <f>6.4982 * CHOOSE(CONTROL!$C$22, $C$13, 100%, $E$13)</f>
        <v>6.4981999999999998</v>
      </c>
      <c r="C429" s="63">
        <f>6.4982 * CHOOSE(CONTROL!$C$22, $C$13, 100%, $E$13)</f>
        <v>6.4981999999999998</v>
      </c>
      <c r="D429" s="63">
        <f>6.5063 * CHOOSE(CONTROL!$C$22, $C$13, 100%, $E$13)</f>
        <v>6.5063000000000004</v>
      </c>
      <c r="E429" s="64">
        <f>7.9011 * CHOOSE(CONTROL!$C$22, $C$13, 100%, $E$13)</f>
        <v>7.9010999999999996</v>
      </c>
      <c r="F429" s="64">
        <f>7.9011 * CHOOSE(CONTROL!$C$22, $C$13, 100%, $E$13)</f>
        <v>7.9010999999999996</v>
      </c>
      <c r="G429" s="64">
        <f>7.9109 * CHOOSE(CONTROL!$C$22, $C$13, 100%, $E$13)</f>
        <v>7.9108999999999998</v>
      </c>
      <c r="H429" s="64">
        <f>13.1756* CHOOSE(CONTROL!$C$22, $C$13, 100%, $E$13)</f>
        <v>13.175599999999999</v>
      </c>
      <c r="I429" s="64">
        <f>13.1854 * CHOOSE(CONTROL!$C$22, $C$13, 100%, $E$13)</f>
        <v>13.1854</v>
      </c>
      <c r="J429" s="64">
        <f>7.9011 * CHOOSE(CONTROL!$C$22, $C$13, 100%, $E$13)</f>
        <v>7.9010999999999996</v>
      </c>
      <c r="K429" s="64">
        <f>7.9109 * CHOOSE(CONTROL!$C$22, $C$13, 100%, $E$13)</f>
        <v>7.9108999999999998</v>
      </c>
    </row>
    <row r="430" spans="1:11" ht="15">
      <c r="A430" s="13">
        <v>54575</v>
      </c>
      <c r="B430" s="63">
        <f>6.5042 * CHOOSE(CONTROL!$C$22, $C$13, 100%, $E$13)</f>
        <v>6.5042</v>
      </c>
      <c r="C430" s="63">
        <f>6.5042 * CHOOSE(CONTROL!$C$22, $C$13, 100%, $E$13)</f>
        <v>6.5042</v>
      </c>
      <c r="D430" s="63">
        <f>6.5124 * CHOOSE(CONTROL!$C$22, $C$13, 100%, $E$13)</f>
        <v>6.5124000000000004</v>
      </c>
      <c r="E430" s="64">
        <f>7.8653 * CHOOSE(CONTROL!$C$22, $C$13, 100%, $E$13)</f>
        <v>7.8653000000000004</v>
      </c>
      <c r="F430" s="64">
        <f>7.8653 * CHOOSE(CONTROL!$C$22, $C$13, 100%, $E$13)</f>
        <v>7.8653000000000004</v>
      </c>
      <c r="G430" s="64">
        <f>7.8751 * CHOOSE(CONTROL!$C$22, $C$13, 100%, $E$13)</f>
        <v>7.8750999999999998</v>
      </c>
      <c r="H430" s="64">
        <f>13.203* CHOOSE(CONTROL!$C$22, $C$13, 100%, $E$13)</f>
        <v>13.202999999999999</v>
      </c>
      <c r="I430" s="64">
        <f>13.2128 * CHOOSE(CONTROL!$C$22, $C$13, 100%, $E$13)</f>
        <v>13.2128</v>
      </c>
      <c r="J430" s="64">
        <f>7.8653 * CHOOSE(CONTROL!$C$22, $C$13, 100%, $E$13)</f>
        <v>7.8653000000000004</v>
      </c>
      <c r="K430" s="64">
        <f>7.8751 * CHOOSE(CONTROL!$C$22, $C$13, 100%, $E$13)</f>
        <v>7.8750999999999998</v>
      </c>
    </row>
    <row r="431" spans="1:11" ht="15">
      <c r="A431" s="13">
        <v>54605</v>
      </c>
      <c r="B431" s="63">
        <f>6.6083 * CHOOSE(CONTROL!$C$22, $C$13, 100%, $E$13)</f>
        <v>6.6082999999999998</v>
      </c>
      <c r="C431" s="63">
        <f>6.6083 * CHOOSE(CONTROL!$C$22, $C$13, 100%, $E$13)</f>
        <v>6.6082999999999998</v>
      </c>
      <c r="D431" s="63">
        <f>6.6164 * CHOOSE(CONTROL!$C$22, $C$13, 100%, $E$13)</f>
        <v>6.6163999999999996</v>
      </c>
      <c r="E431" s="64">
        <f>7.9963 * CHOOSE(CONTROL!$C$22, $C$13, 100%, $E$13)</f>
        <v>7.9962999999999997</v>
      </c>
      <c r="F431" s="64">
        <f>7.9963 * CHOOSE(CONTROL!$C$22, $C$13, 100%, $E$13)</f>
        <v>7.9962999999999997</v>
      </c>
      <c r="G431" s="64">
        <f>8.0061 * CHOOSE(CONTROL!$C$22, $C$13, 100%, $E$13)</f>
        <v>8.0061</v>
      </c>
      <c r="H431" s="64">
        <f>13.2305* CHOOSE(CONTROL!$C$22, $C$13, 100%, $E$13)</f>
        <v>13.230499999999999</v>
      </c>
      <c r="I431" s="64">
        <f>13.2403 * CHOOSE(CONTROL!$C$22, $C$13, 100%, $E$13)</f>
        <v>13.2403</v>
      </c>
      <c r="J431" s="64">
        <f>7.9963 * CHOOSE(CONTROL!$C$22, $C$13, 100%, $E$13)</f>
        <v>7.9962999999999997</v>
      </c>
      <c r="K431" s="64">
        <f>8.0061 * CHOOSE(CONTROL!$C$22, $C$13, 100%, $E$13)</f>
        <v>8.0061</v>
      </c>
    </row>
    <row r="432" spans="1:11" ht="15">
      <c r="A432" s="13">
        <v>54636</v>
      </c>
      <c r="B432" s="63">
        <f>6.615 * CHOOSE(CONTROL!$C$22, $C$13, 100%, $E$13)</f>
        <v>6.6150000000000002</v>
      </c>
      <c r="C432" s="63">
        <f>6.615 * CHOOSE(CONTROL!$C$22, $C$13, 100%, $E$13)</f>
        <v>6.6150000000000002</v>
      </c>
      <c r="D432" s="63">
        <f>6.6231 * CHOOSE(CONTROL!$C$22, $C$13, 100%, $E$13)</f>
        <v>6.6231</v>
      </c>
      <c r="E432" s="64">
        <f>7.8807 * CHOOSE(CONTROL!$C$22, $C$13, 100%, $E$13)</f>
        <v>7.8807</v>
      </c>
      <c r="F432" s="64">
        <f>7.8807 * CHOOSE(CONTROL!$C$22, $C$13, 100%, $E$13)</f>
        <v>7.8807</v>
      </c>
      <c r="G432" s="64">
        <f>7.8906 * CHOOSE(CONTROL!$C$22, $C$13, 100%, $E$13)</f>
        <v>7.8906000000000001</v>
      </c>
      <c r="H432" s="64">
        <f>13.2581* CHOOSE(CONTROL!$C$22, $C$13, 100%, $E$13)</f>
        <v>13.258100000000001</v>
      </c>
      <c r="I432" s="64">
        <f>13.2679 * CHOOSE(CONTROL!$C$22, $C$13, 100%, $E$13)</f>
        <v>13.267899999999999</v>
      </c>
      <c r="J432" s="64">
        <f>7.8807 * CHOOSE(CONTROL!$C$22, $C$13, 100%, $E$13)</f>
        <v>7.8807</v>
      </c>
      <c r="K432" s="64">
        <f>7.8906 * CHOOSE(CONTROL!$C$22, $C$13, 100%, $E$13)</f>
        <v>7.8906000000000001</v>
      </c>
    </row>
    <row r="433" spans="1:11" ht="15">
      <c r="A433" s="13">
        <v>54667</v>
      </c>
      <c r="B433" s="63">
        <f>6.6119 * CHOOSE(CONTROL!$C$22, $C$13, 100%, $E$13)</f>
        <v>6.6119000000000003</v>
      </c>
      <c r="C433" s="63">
        <f>6.6119 * CHOOSE(CONTROL!$C$22, $C$13, 100%, $E$13)</f>
        <v>6.6119000000000003</v>
      </c>
      <c r="D433" s="63">
        <f>6.62 * CHOOSE(CONTROL!$C$22, $C$13, 100%, $E$13)</f>
        <v>6.62</v>
      </c>
      <c r="E433" s="64">
        <f>7.8653 * CHOOSE(CONTROL!$C$22, $C$13, 100%, $E$13)</f>
        <v>7.8653000000000004</v>
      </c>
      <c r="F433" s="64">
        <f>7.8653 * CHOOSE(CONTROL!$C$22, $C$13, 100%, $E$13)</f>
        <v>7.8653000000000004</v>
      </c>
      <c r="G433" s="64">
        <f>7.8751 * CHOOSE(CONTROL!$C$22, $C$13, 100%, $E$13)</f>
        <v>7.8750999999999998</v>
      </c>
      <c r="H433" s="64">
        <f>13.2857* CHOOSE(CONTROL!$C$22, $C$13, 100%, $E$13)</f>
        <v>13.2857</v>
      </c>
      <c r="I433" s="64">
        <f>13.2955 * CHOOSE(CONTROL!$C$22, $C$13, 100%, $E$13)</f>
        <v>13.295500000000001</v>
      </c>
      <c r="J433" s="64">
        <f>7.8653 * CHOOSE(CONTROL!$C$22, $C$13, 100%, $E$13)</f>
        <v>7.8653000000000004</v>
      </c>
      <c r="K433" s="64">
        <f>7.8751 * CHOOSE(CONTROL!$C$22, $C$13, 100%, $E$13)</f>
        <v>7.8750999999999998</v>
      </c>
    </row>
    <row r="434" spans="1:11" ht="15">
      <c r="A434" s="13">
        <v>54697</v>
      </c>
      <c r="B434" s="63">
        <f>6.6156 * CHOOSE(CONTROL!$C$22, $C$13, 100%, $E$13)</f>
        <v>6.6155999999999997</v>
      </c>
      <c r="C434" s="63">
        <f>6.6156 * CHOOSE(CONTROL!$C$22, $C$13, 100%, $E$13)</f>
        <v>6.6155999999999997</v>
      </c>
      <c r="D434" s="63">
        <f>6.6156 * CHOOSE(CONTROL!$C$22, $C$13, 100%, $E$13)</f>
        <v>6.6155999999999997</v>
      </c>
      <c r="E434" s="64">
        <f>7.9053 * CHOOSE(CONTROL!$C$22, $C$13, 100%, $E$13)</f>
        <v>7.9053000000000004</v>
      </c>
      <c r="F434" s="64">
        <f>7.9053 * CHOOSE(CONTROL!$C$22, $C$13, 100%, $E$13)</f>
        <v>7.9053000000000004</v>
      </c>
      <c r="G434" s="64">
        <f>7.9054 * CHOOSE(CONTROL!$C$22, $C$13, 100%, $E$13)</f>
        <v>7.9054000000000002</v>
      </c>
      <c r="H434" s="64">
        <f>13.3134* CHOOSE(CONTROL!$C$22, $C$13, 100%, $E$13)</f>
        <v>13.3134</v>
      </c>
      <c r="I434" s="64">
        <f>13.3135 * CHOOSE(CONTROL!$C$22, $C$13, 100%, $E$13)</f>
        <v>13.313499999999999</v>
      </c>
      <c r="J434" s="64">
        <f>7.9053 * CHOOSE(CONTROL!$C$22, $C$13, 100%, $E$13)</f>
        <v>7.9053000000000004</v>
      </c>
      <c r="K434" s="64">
        <f>7.9054 * CHOOSE(CONTROL!$C$22, $C$13, 100%, $E$13)</f>
        <v>7.9054000000000002</v>
      </c>
    </row>
    <row r="435" spans="1:11" ht="15">
      <c r="A435" s="13">
        <v>54728</v>
      </c>
      <c r="B435" s="63">
        <f>6.6186 * CHOOSE(CONTROL!$C$22, $C$13, 100%, $E$13)</f>
        <v>6.6185999999999998</v>
      </c>
      <c r="C435" s="63">
        <f>6.6186 * CHOOSE(CONTROL!$C$22, $C$13, 100%, $E$13)</f>
        <v>6.6185999999999998</v>
      </c>
      <c r="D435" s="63">
        <f>6.6187 * CHOOSE(CONTROL!$C$22, $C$13, 100%, $E$13)</f>
        <v>6.6186999999999996</v>
      </c>
      <c r="E435" s="64">
        <f>7.9341 * CHOOSE(CONTROL!$C$22, $C$13, 100%, $E$13)</f>
        <v>7.9340999999999999</v>
      </c>
      <c r="F435" s="64">
        <f>7.9341 * CHOOSE(CONTROL!$C$22, $C$13, 100%, $E$13)</f>
        <v>7.9340999999999999</v>
      </c>
      <c r="G435" s="64">
        <f>7.9342 * CHOOSE(CONTROL!$C$22, $C$13, 100%, $E$13)</f>
        <v>7.9341999999999997</v>
      </c>
      <c r="H435" s="64">
        <f>13.3411* CHOOSE(CONTROL!$C$22, $C$13, 100%, $E$13)</f>
        <v>13.341100000000001</v>
      </c>
      <c r="I435" s="64">
        <f>13.3412 * CHOOSE(CONTROL!$C$22, $C$13, 100%, $E$13)</f>
        <v>13.341200000000001</v>
      </c>
      <c r="J435" s="64">
        <f>7.9341 * CHOOSE(CONTROL!$C$22, $C$13, 100%, $E$13)</f>
        <v>7.9340999999999999</v>
      </c>
      <c r="K435" s="64">
        <f>7.9342 * CHOOSE(CONTROL!$C$22, $C$13, 100%, $E$13)</f>
        <v>7.9341999999999997</v>
      </c>
    </row>
    <row r="436" spans="1:11" ht="15">
      <c r="A436" s="13">
        <v>54758</v>
      </c>
      <c r="B436" s="63">
        <f>6.6186 * CHOOSE(CONTROL!$C$22, $C$13, 100%, $E$13)</f>
        <v>6.6185999999999998</v>
      </c>
      <c r="C436" s="63">
        <f>6.6186 * CHOOSE(CONTROL!$C$22, $C$13, 100%, $E$13)</f>
        <v>6.6185999999999998</v>
      </c>
      <c r="D436" s="63">
        <f>6.6187 * CHOOSE(CONTROL!$C$22, $C$13, 100%, $E$13)</f>
        <v>6.6186999999999996</v>
      </c>
      <c r="E436" s="64">
        <f>7.8673 * CHOOSE(CONTROL!$C$22, $C$13, 100%, $E$13)</f>
        <v>7.8673000000000002</v>
      </c>
      <c r="F436" s="64">
        <f>7.8673 * CHOOSE(CONTROL!$C$22, $C$13, 100%, $E$13)</f>
        <v>7.8673000000000002</v>
      </c>
      <c r="G436" s="64">
        <f>7.8674 * CHOOSE(CONTROL!$C$22, $C$13, 100%, $E$13)</f>
        <v>7.8673999999999999</v>
      </c>
      <c r="H436" s="64">
        <f>13.3689* CHOOSE(CONTROL!$C$22, $C$13, 100%, $E$13)</f>
        <v>13.3689</v>
      </c>
      <c r="I436" s="64">
        <f>13.369 * CHOOSE(CONTROL!$C$22, $C$13, 100%, $E$13)</f>
        <v>13.369</v>
      </c>
      <c r="J436" s="64">
        <f>7.8673 * CHOOSE(CONTROL!$C$22, $C$13, 100%, $E$13)</f>
        <v>7.8673000000000002</v>
      </c>
      <c r="K436" s="64">
        <f>7.8674 * CHOOSE(CONTROL!$C$22, $C$13, 100%, $E$13)</f>
        <v>7.8673999999999999</v>
      </c>
    </row>
    <row r="437" spans="1:11" ht="15">
      <c r="A437" s="13">
        <v>54789</v>
      </c>
      <c r="B437" s="63">
        <f>6.6762 * CHOOSE(CONTROL!$C$22, $C$13, 100%, $E$13)</f>
        <v>6.6761999999999997</v>
      </c>
      <c r="C437" s="63">
        <f>6.6762 * CHOOSE(CONTROL!$C$22, $C$13, 100%, $E$13)</f>
        <v>6.6761999999999997</v>
      </c>
      <c r="D437" s="63">
        <f>6.6762 * CHOOSE(CONTROL!$C$22, $C$13, 100%, $E$13)</f>
        <v>6.6761999999999997</v>
      </c>
      <c r="E437" s="64">
        <f>7.9797 * CHOOSE(CONTROL!$C$22, $C$13, 100%, $E$13)</f>
        <v>7.9797000000000002</v>
      </c>
      <c r="F437" s="64">
        <f>7.9797 * CHOOSE(CONTROL!$C$22, $C$13, 100%, $E$13)</f>
        <v>7.9797000000000002</v>
      </c>
      <c r="G437" s="64">
        <f>7.9798 * CHOOSE(CONTROL!$C$22, $C$13, 100%, $E$13)</f>
        <v>7.9798</v>
      </c>
      <c r="H437" s="64">
        <f>13.3968* CHOOSE(CONTROL!$C$22, $C$13, 100%, $E$13)</f>
        <v>13.396800000000001</v>
      </c>
      <c r="I437" s="64">
        <f>13.3968 * CHOOSE(CONTROL!$C$22, $C$13, 100%, $E$13)</f>
        <v>13.396800000000001</v>
      </c>
      <c r="J437" s="64">
        <f>7.9797 * CHOOSE(CONTROL!$C$22, $C$13, 100%, $E$13)</f>
        <v>7.9797000000000002</v>
      </c>
      <c r="K437" s="64">
        <f>7.9798 * CHOOSE(CONTROL!$C$22, $C$13, 100%, $E$13)</f>
        <v>7.9798</v>
      </c>
    </row>
    <row r="438" spans="1:11" ht="15">
      <c r="A438" s="13">
        <v>54820</v>
      </c>
      <c r="B438" s="63">
        <f>6.6731 * CHOOSE(CONTROL!$C$22, $C$13, 100%, $E$13)</f>
        <v>6.6730999999999998</v>
      </c>
      <c r="C438" s="63">
        <f>6.6731 * CHOOSE(CONTROL!$C$22, $C$13, 100%, $E$13)</f>
        <v>6.6730999999999998</v>
      </c>
      <c r="D438" s="63">
        <f>6.6731 * CHOOSE(CONTROL!$C$22, $C$13, 100%, $E$13)</f>
        <v>6.6730999999999998</v>
      </c>
      <c r="E438" s="64">
        <f>7.8478 * CHOOSE(CONTROL!$C$22, $C$13, 100%, $E$13)</f>
        <v>7.8478000000000003</v>
      </c>
      <c r="F438" s="64">
        <f>7.8478 * CHOOSE(CONTROL!$C$22, $C$13, 100%, $E$13)</f>
        <v>7.8478000000000003</v>
      </c>
      <c r="G438" s="64">
        <f>7.8479 * CHOOSE(CONTROL!$C$22, $C$13, 100%, $E$13)</f>
        <v>7.8479000000000001</v>
      </c>
      <c r="H438" s="64">
        <f>13.4247* CHOOSE(CONTROL!$C$22, $C$13, 100%, $E$13)</f>
        <v>13.4247</v>
      </c>
      <c r="I438" s="64">
        <f>13.4247 * CHOOSE(CONTROL!$C$22, $C$13, 100%, $E$13)</f>
        <v>13.4247</v>
      </c>
      <c r="J438" s="64">
        <f>7.8478 * CHOOSE(CONTROL!$C$22, $C$13, 100%, $E$13)</f>
        <v>7.8478000000000003</v>
      </c>
      <c r="K438" s="64">
        <f>7.8479 * CHOOSE(CONTROL!$C$22, $C$13, 100%, $E$13)</f>
        <v>7.8479000000000001</v>
      </c>
    </row>
    <row r="439" spans="1:11" ht="15">
      <c r="A439" s="13">
        <v>54848</v>
      </c>
      <c r="B439" s="63">
        <f>6.6701 * CHOOSE(CONTROL!$C$22, $C$13, 100%, $E$13)</f>
        <v>6.6700999999999997</v>
      </c>
      <c r="C439" s="63">
        <f>6.6701 * CHOOSE(CONTROL!$C$22, $C$13, 100%, $E$13)</f>
        <v>6.6700999999999997</v>
      </c>
      <c r="D439" s="63">
        <f>6.6701 * CHOOSE(CONTROL!$C$22, $C$13, 100%, $E$13)</f>
        <v>6.6700999999999997</v>
      </c>
      <c r="E439" s="64">
        <f>7.948 * CHOOSE(CONTROL!$C$22, $C$13, 100%, $E$13)</f>
        <v>7.9480000000000004</v>
      </c>
      <c r="F439" s="64">
        <f>7.948 * CHOOSE(CONTROL!$C$22, $C$13, 100%, $E$13)</f>
        <v>7.9480000000000004</v>
      </c>
      <c r="G439" s="64">
        <f>7.9481 * CHOOSE(CONTROL!$C$22, $C$13, 100%, $E$13)</f>
        <v>7.9481000000000002</v>
      </c>
      <c r="H439" s="64">
        <f>13.4526* CHOOSE(CONTROL!$C$22, $C$13, 100%, $E$13)</f>
        <v>13.4526</v>
      </c>
      <c r="I439" s="64">
        <f>13.4527 * CHOOSE(CONTROL!$C$22, $C$13, 100%, $E$13)</f>
        <v>13.4527</v>
      </c>
      <c r="J439" s="64">
        <f>7.948 * CHOOSE(CONTROL!$C$22, $C$13, 100%, $E$13)</f>
        <v>7.9480000000000004</v>
      </c>
      <c r="K439" s="64">
        <f>7.9481 * CHOOSE(CONTROL!$C$22, $C$13, 100%, $E$13)</f>
        <v>7.9481000000000002</v>
      </c>
    </row>
    <row r="440" spans="1:11" ht="15">
      <c r="A440" s="13">
        <v>54879</v>
      </c>
      <c r="B440" s="63">
        <f>6.67 * CHOOSE(CONTROL!$C$22, $C$13, 100%, $E$13)</f>
        <v>6.67</v>
      </c>
      <c r="C440" s="63">
        <f>6.67 * CHOOSE(CONTROL!$C$22, $C$13, 100%, $E$13)</f>
        <v>6.67</v>
      </c>
      <c r="D440" s="63">
        <f>6.6701 * CHOOSE(CONTROL!$C$22, $C$13, 100%, $E$13)</f>
        <v>6.6700999999999997</v>
      </c>
      <c r="E440" s="64">
        <f>8.0536 * CHOOSE(CONTROL!$C$22, $C$13, 100%, $E$13)</f>
        <v>8.0535999999999994</v>
      </c>
      <c r="F440" s="64">
        <f>8.0536 * CHOOSE(CONTROL!$C$22, $C$13, 100%, $E$13)</f>
        <v>8.0535999999999994</v>
      </c>
      <c r="G440" s="64">
        <f>8.0537 * CHOOSE(CONTROL!$C$22, $C$13, 100%, $E$13)</f>
        <v>8.0536999999999992</v>
      </c>
      <c r="H440" s="64">
        <f>13.4807* CHOOSE(CONTROL!$C$22, $C$13, 100%, $E$13)</f>
        <v>13.480700000000001</v>
      </c>
      <c r="I440" s="64">
        <f>13.4807 * CHOOSE(CONTROL!$C$22, $C$13, 100%, $E$13)</f>
        <v>13.480700000000001</v>
      </c>
      <c r="J440" s="64">
        <f>8.0536 * CHOOSE(CONTROL!$C$22, $C$13, 100%, $E$13)</f>
        <v>8.0535999999999994</v>
      </c>
      <c r="K440" s="64">
        <f>8.0537 * CHOOSE(CONTROL!$C$22, $C$13, 100%, $E$13)</f>
        <v>8.0536999999999992</v>
      </c>
    </row>
    <row r="441" spans="1:11" ht="15">
      <c r="A441" s="13">
        <v>54909</v>
      </c>
      <c r="B441" s="63">
        <f>6.67 * CHOOSE(CONTROL!$C$22, $C$13, 100%, $E$13)</f>
        <v>6.67</v>
      </c>
      <c r="C441" s="63">
        <f>6.67 * CHOOSE(CONTROL!$C$22, $C$13, 100%, $E$13)</f>
        <v>6.67</v>
      </c>
      <c r="D441" s="63">
        <f>6.6782 * CHOOSE(CONTROL!$C$22, $C$13, 100%, $E$13)</f>
        <v>6.6782000000000004</v>
      </c>
      <c r="E441" s="64">
        <f>8.0948 * CHOOSE(CONTROL!$C$22, $C$13, 100%, $E$13)</f>
        <v>8.0947999999999993</v>
      </c>
      <c r="F441" s="64">
        <f>8.0948 * CHOOSE(CONTROL!$C$22, $C$13, 100%, $E$13)</f>
        <v>8.0947999999999993</v>
      </c>
      <c r="G441" s="64">
        <f>8.1047 * CHOOSE(CONTROL!$C$22, $C$13, 100%, $E$13)</f>
        <v>8.1046999999999993</v>
      </c>
      <c r="H441" s="64">
        <f>13.5087* CHOOSE(CONTROL!$C$22, $C$13, 100%, $E$13)</f>
        <v>13.508699999999999</v>
      </c>
      <c r="I441" s="64">
        <f>13.5186 * CHOOSE(CONTROL!$C$22, $C$13, 100%, $E$13)</f>
        <v>13.518599999999999</v>
      </c>
      <c r="J441" s="64">
        <f>8.0948 * CHOOSE(CONTROL!$C$22, $C$13, 100%, $E$13)</f>
        <v>8.0947999999999993</v>
      </c>
      <c r="K441" s="64">
        <f>8.1047 * CHOOSE(CONTROL!$C$22, $C$13, 100%, $E$13)</f>
        <v>8.1046999999999993</v>
      </c>
    </row>
    <row r="442" spans="1:11" ht="15">
      <c r="A442" s="13">
        <v>54940</v>
      </c>
      <c r="B442" s="63">
        <f>6.6761 * CHOOSE(CONTROL!$C$22, $C$13, 100%, $E$13)</f>
        <v>6.6760999999999999</v>
      </c>
      <c r="C442" s="63">
        <f>6.6761 * CHOOSE(CONTROL!$C$22, $C$13, 100%, $E$13)</f>
        <v>6.6760999999999999</v>
      </c>
      <c r="D442" s="63">
        <f>6.6842 * CHOOSE(CONTROL!$C$22, $C$13, 100%, $E$13)</f>
        <v>6.6841999999999997</v>
      </c>
      <c r="E442" s="64">
        <f>8.0579 * CHOOSE(CONTROL!$C$22, $C$13, 100%, $E$13)</f>
        <v>8.0579000000000001</v>
      </c>
      <c r="F442" s="64">
        <f>8.0579 * CHOOSE(CONTROL!$C$22, $C$13, 100%, $E$13)</f>
        <v>8.0579000000000001</v>
      </c>
      <c r="G442" s="64">
        <f>8.0677 * CHOOSE(CONTROL!$C$22, $C$13, 100%, $E$13)</f>
        <v>8.0677000000000003</v>
      </c>
      <c r="H442" s="64">
        <f>13.5369* CHOOSE(CONTROL!$C$22, $C$13, 100%, $E$13)</f>
        <v>13.536899999999999</v>
      </c>
      <c r="I442" s="64">
        <f>13.5467 * CHOOSE(CONTROL!$C$22, $C$13, 100%, $E$13)</f>
        <v>13.5467</v>
      </c>
      <c r="J442" s="64">
        <f>8.0579 * CHOOSE(CONTROL!$C$22, $C$13, 100%, $E$13)</f>
        <v>8.0579000000000001</v>
      </c>
      <c r="K442" s="64">
        <f>8.0677 * CHOOSE(CONTROL!$C$22, $C$13, 100%, $E$13)</f>
        <v>8.0677000000000003</v>
      </c>
    </row>
    <row r="443" spans="1:11" ht="15">
      <c r="A443" s="13">
        <v>54970</v>
      </c>
      <c r="B443" s="63">
        <f>6.7826 * CHOOSE(CONTROL!$C$22, $C$13, 100%, $E$13)</f>
        <v>6.7826000000000004</v>
      </c>
      <c r="C443" s="63">
        <f>6.7826 * CHOOSE(CONTROL!$C$22, $C$13, 100%, $E$13)</f>
        <v>6.7826000000000004</v>
      </c>
      <c r="D443" s="63">
        <f>6.7907 * CHOOSE(CONTROL!$C$22, $C$13, 100%, $E$13)</f>
        <v>6.7907000000000002</v>
      </c>
      <c r="E443" s="64">
        <f>8.1919 * CHOOSE(CONTROL!$C$22, $C$13, 100%, $E$13)</f>
        <v>8.1919000000000004</v>
      </c>
      <c r="F443" s="64">
        <f>8.1919 * CHOOSE(CONTROL!$C$22, $C$13, 100%, $E$13)</f>
        <v>8.1919000000000004</v>
      </c>
      <c r="G443" s="64">
        <f>8.2017 * CHOOSE(CONTROL!$C$22, $C$13, 100%, $E$13)</f>
        <v>8.2017000000000007</v>
      </c>
      <c r="H443" s="64">
        <f>13.5651* CHOOSE(CONTROL!$C$22, $C$13, 100%, $E$13)</f>
        <v>13.565099999999999</v>
      </c>
      <c r="I443" s="64">
        <f>13.5749 * CHOOSE(CONTROL!$C$22, $C$13, 100%, $E$13)</f>
        <v>13.5749</v>
      </c>
      <c r="J443" s="64">
        <f>8.1919 * CHOOSE(CONTROL!$C$22, $C$13, 100%, $E$13)</f>
        <v>8.1919000000000004</v>
      </c>
      <c r="K443" s="64">
        <f>8.2017 * CHOOSE(CONTROL!$C$22, $C$13, 100%, $E$13)</f>
        <v>8.2017000000000007</v>
      </c>
    </row>
    <row r="444" spans="1:11" ht="15">
      <c r="A444" s="13">
        <v>55001</v>
      </c>
      <c r="B444" s="63">
        <f>6.7893 * CHOOSE(CONTROL!$C$22, $C$13, 100%, $E$13)</f>
        <v>6.7892999999999999</v>
      </c>
      <c r="C444" s="63">
        <f>6.7893 * CHOOSE(CONTROL!$C$22, $C$13, 100%, $E$13)</f>
        <v>6.7892999999999999</v>
      </c>
      <c r="D444" s="63">
        <f>6.7974 * CHOOSE(CONTROL!$C$22, $C$13, 100%, $E$13)</f>
        <v>6.7973999999999997</v>
      </c>
      <c r="E444" s="64">
        <f>8.0729 * CHOOSE(CONTROL!$C$22, $C$13, 100%, $E$13)</f>
        <v>8.0729000000000006</v>
      </c>
      <c r="F444" s="64">
        <f>8.0729 * CHOOSE(CONTROL!$C$22, $C$13, 100%, $E$13)</f>
        <v>8.0729000000000006</v>
      </c>
      <c r="G444" s="64">
        <f>8.0827 * CHOOSE(CONTROL!$C$22, $C$13, 100%, $E$13)</f>
        <v>8.0827000000000009</v>
      </c>
      <c r="H444" s="64">
        <f>13.5934* CHOOSE(CONTROL!$C$22, $C$13, 100%, $E$13)</f>
        <v>13.593400000000001</v>
      </c>
      <c r="I444" s="64">
        <f>13.6032 * CHOOSE(CONTROL!$C$22, $C$13, 100%, $E$13)</f>
        <v>13.603199999999999</v>
      </c>
      <c r="J444" s="64">
        <f>8.0729 * CHOOSE(CONTROL!$C$22, $C$13, 100%, $E$13)</f>
        <v>8.0729000000000006</v>
      </c>
      <c r="K444" s="64">
        <f>8.0827 * CHOOSE(CONTROL!$C$22, $C$13, 100%, $E$13)</f>
        <v>8.0827000000000009</v>
      </c>
    </row>
    <row r="445" spans="1:11" ht="15">
      <c r="A445" s="13">
        <v>55032</v>
      </c>
      <c r="B445" s="63">
        <f>6.7863 * CHOOSE(CONTROL!$C$22, $C$13, 100%, $E$13)</f>
        <v>6.7862999999999998</v>
      </c>
      <c r="C445" s="63">
        <f>6.7863 * CHOOSE(CONTROL!$C$22, $C$13, 100%, $E$13)</f>
        <v>6.7862999999999998</v>
      </c>
      <c r="D445" s="63">
        <f>6.7944 * CHOOSE(CONTROL!$C$22, $C$13, 100%, $E$13)</f>
        <v>6.7944000000000004</v>
      </c>
      <c r="E445" s="64">
        <f>8.0571 * CHOOSE(CONTROL!$C$22, $C$13, 100%, $E$13)</f>
        <v>8.0571000000000002</v>
      </c>
      <c r="F445" s="64">
        <f>8.0571 * CHOOSE(CONTROL!$C$22, $C$13, 100%, $E$13)</f>
        <v>8.0571000000000002</v>
      </c>
      <c r="G445" s="64">
        <f>8.0669 * CHOOSE(CONTROL!$C$22, $C$13, 100%, $E$13)</f>
        <v>8.0669000000000004</v>
      </c>
      <c r="H445" s="64">
        <f>13.6217* CHOOSE(CONTROL!$C$22, $C$13, 100%, $E$13)</f>
        <v>13.621700000000001</v>
      </c>
      <c r="I445" s="64">
        <f>13.6315 * CHOOSE(CONTROL!$C$22, $C$13, 100%, $E$13)</f>
        <v>13.631500000000001</v>
      </c>
      <c r="J445" s="64">
        <f>8.0571 * CHOOSE(CONTROL!$C$22, $C$13, 100%, $E$13)</f>
        <v>8.0571000000000002</v>
      </c>
      <c r="K445" s="64">
        <f>8.0669 * CHOOSE(CONTROL!$C$22, $C$13, 100%, $E$13)</f>
        <v>8.0669000000000004</v>
      </c>
    </row>
    <row r="446" spans="1:11" ht="15">
      <c r="A446" s="13">
        <v>55062</v>
      </c>
      <c r="B446" s="63">
        <f>6.7905 * CHOOSE(CONTROL!$C$22, $C$13, 100%, $E$13)</f>
        <v>6.7904999999999998</v>
      </c>
      <c r="C446" s="63">
        <f>6.7905 * CHOOSE(CONTROL!$C$22, $C$13, 100%, $E$13)</f>
        <v>6.7904999999999998</v>
      </c>
      <c r="D446" s="63">
        <f>6.7905 * CHOOSE(CONTROL!$C$22, $C$13, 100%, $E$13)</f>
        <v>6.7904999999999998</v>
      </c>
      <c r="E446" s="64">
        <f>8.0986 * CHOOSE(CONTROL!$C$22, $C$13, 100%, $E$13)</f>
        <v>8.0985999999999994</v>
      </c>
      <c r="F446" s="64">
        <f>8.0986 * CHOOSE(CONTROL!$C$22, $C$13, 100%, $E$13)</f>
        <v>8.0985999999999994</v>
      </c>
      <c r="G446" s="64">
        <f>8.0987 * CHOOSE(CONTROL!$C$22, $C$13, 100%, $E$13)</f>
        <v>8.0986999999999991</v>
      </c>
      <c r="H446" s="64">
        <f>13.6501* CHOOSE(CONTROL!$C$22, $C$13, 100%, $E$13)</f>
        <v>13.6501</v>
      </c>
      <c r="I446" s="64">
        <f>13.6501 * CHOOSE(CONTROL!$C$22, $C$13, 100%, $E$13)</f>
        <v>13.6501</v>
      </c>
      <c r="J446" s="64">
        <f>8.0986 * CHOOSE(CONTROL!$C$22, $C$13, 100%, $E$13)</f>
        <v>8.0985999999999994</v>
      </c>
      <c r="K446" s="64">
        <f>8.0987 * CHOOSE(CONTROL!$C$22, $C$13, 100%, $E$13)</f>
        <v>8.0986999999999991</v>
      </c>
    </row>
    <row r="447" spans="1:11" ht="15">
      <c r="A447" s="13">
        <v>55093</v>
      </c>
      <c r="B447" s="63">
        <f>6.7936 * CHOOSE(CONTROL!$C$22, $C$13, 100%, $E$13)</f>
        <v>6.7935999999999996</v>
      </c>
      <c r="C447" s="63">
        <f>6.7936 * CHOOSE(CONTROL!$C$22, $C$13, 100%, $E$13)</f>
        <v>6.7935999999999996</v>
      </c>
      <c r="D447" s="63">
        <f>6.7936 * CHOOSE(CONTROL!$C$22, $C$13, 100%, $E$13)</f>
        <v>6.7935999999999996</v>
      </c>
      <c r="E447" s="64">
        <f>8.1282 * CHOOSE(CONTROL!$C$22, $C$13, 100%, $E$13)</f>
        <v>8.1281999999999996</v>
      </c>
      <c r="F447" s="64">
        <f>8.1282 * CHOOSE(CONTROL!$C$22, $C$13, 100%, $E$13)</f>
        <v>8.1281999999999996</v>
      </c>
      <c r="G447" s="64">
        <f>8.1282 * CHOOSE(CONTROL!$C$22, $C$13, 100%, $E$13)</f>
        <v>8.1281999999999996</v>
      </c>
      <c r="H447" s="64">
        <f>13.6785* CHOOSE(CONTROL!$C$22, $C$13, 100%, $E$13)</f>
        <v>13.6785</v>
      </c>
      <c r="I447" s="64">
        <f>13.6786 * CHOOSE(CONTROL!$C$22, $C$13, 100%, $E$13)</f>
        <v>13.678599999999999</v>
      </c>
      <c r="J447" s="64">
        <f>8.1282 * CHOOSE(CONTROL!$C$22, $C$13, 100%, $E$13)</f>
        <v>8.1281999999999996</v>
      </c>
      <c r="K447" s="64">
        <f>8.1282 * CHOOSE(CONTROL!$C$22, $C$13, 100%, $E$13)</f>
        <v>8.1281999999999996</v>
      </c>
    </row>
    <row r="448" spans="1:11" ht="15">
      <c r="A448" s="13">
        <v>55123</v>
      </c>
      <c r="B448" s="63">
        <f>6.7936 * CHOOSE(CONTROL!$C$22, $C$13, 100%, $E$13)</f>
        <v>6.7935999999999996</v>
      </c>
      <c r="C448" s="63">
        <f>6.7936 * CHOOSE(CONTROL!$C$22, $C$13, 100%, $E$13)</f>
        <v>6.7935999999999996</v>
      </c>
      <c r="D448" s="63">
        <f>6.7936 * CHOOSE(CONTROL!$C$22, $C$13, 100%, $E$13)</f>
        <v>6.7935999999999996</v>
      </c>
      <c r="E448" s="64">
        <f>8.0595 * CHOOSE(CONTROL!$C$22, $C$13, 100%, $E$13)</f>
        <v>8.0594999999999999</v>
      </c>
      <c r="F448" s="64">
        <f>8.0595 * CHOOSE(CONTROL!$C$22, $C$13, 100%, $E$13)</f>
        <v>8.0594999999999999</v>
      </c>
      <c r="G448" s="64">
        <f>8.0596 * CHOOSE(CONTROL!$C$22, $C$13, 100%, $E$13)</f>
        <v>8.0595999999999997</v>
      </c>
      <c r="H448" s="64">
        <f>13.707* CHOOSE(CONTROL!$C$22, $C$13, 100%, $E$13)</f>
        <v>13.707000000000001</v>
      </c>
      <c r="I448" s="64">
        <f>13.7071 * CHOOSE(CONTROL!$C$22, $C$13, 100%, $E$13)</f>
        <v>13.707100000000001</v>
      </c>
      <c r="J448" s="64">
        <f>8.0595 * CHOOSE(CONTROL!$C$22, $C$13, 100%, $E$13)</f>
        <v>8.0594999999999999</v>
      </c>
      <c r="K448" s="64">
        <f>8.0596 * CHOOSE(CONTROL!$C$22, $C$13, 100%, $E$13)</f>
        <v>8.0595999999999997</v>
      </c>
    </row>
    <row r="449" spans="1:11" ht="15">
      <c r="A449" s="13">
        <v>55154</v>
      </c>
      <c r="B449" s="63">
        <f>6.8525 * CHOOSE(CONTROL!$C$22, $C$13, 100%, $E$13)</f>
        <v>6.8525</v>
      </c>
      <c r="C449" s="63">
        <f>6.8525 * CHOOSE(CONTROL!$C$22, $C$13, 100%, $E$13)</f>
        <v>6.8525</v>
      </c>
      <c r="D449" s="63">
        <f>6.8525 * CHOOSE(CONTROL!$C$22, $C$13, 100%, $E$13)</f>
        <v>6.8525</v>
      </c>
      <c r="E449" s="64">
        <f>8.1748 * CHOOSE(CONTROL!$C$22, $C$13, 100%, $E$13)</f>
        <v>8.1747999999999994</v>
      </c>
      <c r="F449" s="64">
        <f>8.1748 * CHOOSE(CONTROL!$C$22, $C$13, 100%, $E$13)</f>
        <v>8.1747999999999994</v>
      </c>
      <c r="G449" s="64">
        <f>8.1748 * CHOOSE(CONTROL!$C$22, $C$13, 100%, $E$13)</f>
        <v>8.1747999999999994</v>
      </c>
      <c r="H449" s="64">
        <f>13.7355* CHOOSE(CONTROL!$C$22, $C$13, 100%, $E$13)</f>
        <v>13.7355</v>
      </c>
      <c r="I449" s="64">
        <f>13.7356 * CHOOSE(CONTROL!$C$22, $C$13, 100%, $E$13)</f>
        <v>13.7356</v>
      </c>
      <c r="J449" s="64">
        <f>8.1748 * CHOOSE(CONTROL!$C$22, $C$13, 100%, $E$13)</f>
        <v>8.1747999999999994</v>
      </c>
      <c r="K449" s="64">
        <f>8.1748 * CHOOSE(CONTROL!$C$22, $C$13, 100%, $E$13)</f>
        <v>8.1747999999999994</v>
      </c>
    </row>
    <row r="450" spans="1:11" ht="15">
      <c r="A450" s="13">
        <v>55185</v>
      </c>
      <c r="B450" s="63">
        <f>6.8495 * CHOOSE(CONTROL!$C$22, $C$13, 100%, $E$13)</f>
        <v>6.8494999999999999</v>
      </c>
      <c r="C450" s="63">
        <f>6.8495 * CHOOSE(CONTROL!$C$22, $C$13, 100%, $E$13)</f>
        <v>6.8494999999999999</v>
      </c>
      <c r="D450" s="63">
        <f>6.8495 * CHOOSE(CONTROL!$C$22, $C$13, 100%, $E$13)</f>
        <v>6.8494999999999999</v>
      </c>
      <c r="E450" s="64">
        <f>8.0392 * CHOOSE(CONTROL!$C$22, $C$13, 100%, $E$13)</f>
        <v>8.0391999999999992</v>
      </c>
      <c r="F450" s="64">
        <f>8.0392 * CHOOSE(CONTROL!$C$22, $C$13, 100%, $E$13)</f>
        <v>8.0391999999999992</v>
      </c>
      <c r="G450" s="64">
        <f>8.0393 * CHOOSE(CONTROL!$C$22, $C$13, 100%, $E$13)</f>
        <v>8.0393000000000008</v>
      </c>
      <c r="H450" s="64">
        <f>13.7642* CHOOSE(CONTROL!$C$22, $C$13, 100%, $E$13)</f>
        <v>13.764200000000001</v>
      </c>
      <c r="I450" s="64">
        <f>13.7642 * CHOOSE(CONTROL!$C$22, $C$13, 100%, $E$13)</f>
        <v>13.764200000000001</v>
      </c>
      <c r="J450" s="64">
        <f>8.0392 * CHOOSE(CONTROL!$C$22, $C$13, 100%, $E$13)</f>
        <v>8.0391999999999992</v>
      </c>
      <c r="K450" s="64">
        <f>8.0393 * CHOOSE(CONTROL!$C$22, $C$13, 100%, $E$13)</f>
        <v>8.0393000000000008</v>
      </c>
    </row>
    <row r="451" spans="1:11" ht="15">
      <c r="A451" s="13">
        <v>55213</v>
      </c>
      <c r="B451" s="63">
        <f>6.8464 * CHOOSE(CONTROL!$C$22, $C$13, 100%, $E$13)</f>
        <v>6.8464</v>
      </c>
      <c r="C451" s="63">
        <f>6.8464 * CHOOSE(CONTROL!$C$22, $C$13, 100%, $E$13)</f>
        <v>6.8464</v>
      </c>
      <c r="D451" s="63">
        <f>6.8464 * CHOOSE(CONTROL!$C$22, $C$13, 100%, $E$13)</f>
        <v>6.8464</v>
      </c>
      <c r="E451" s="64">
        <f>8.1423 * CHOOSE(CONTROL!$C$22, $C$13, 100%, $E$13)</f>
        <v>8.1423000000000005</v>
      </c>
      <c r="F451" s="64">
        <f>8.1423 * CHOOSE(CONTROL!$C$22, $C$13, 100%, $E$13)</f>
        <v>8.1423000000000005</v>
      </c>
      <c r="G451" s="64">
        <f>8.1424 * CHOOSE(CONTROL!$C$22, $C$13, 100%, $E$13)</f>
        <v>8.1424000000000003</v>
      </c>
      <c r="H451" s="64">
        <f>13.7928* CHOOSE(CONTROL!$C$22, $C$13, 100%, $E$13)</f>
        <v>13.7928</v>
      </c>
      <c r="I451" s="64">
        <f>13.7929 * CHOOSE(CONTROL!$C$22, $C$13, 100%, $E$13)</f>
        <v>13.792899999999999</v>
      </c>
      <c r="J451" s="64">
        <f>8.1423 * CHOOSE(CONTROL!$C$22, $C$13, 100%, $E$13)</f>
        <v>8.1423000000000005</v>
      </c>
      <c r="K451" s="64">
        <f>8.1424 * CHOOSE(CONTROL!$C$22, $C$13, 100%, $E$13)</f>
        <v>8.1424000000000003</v>
      </c>
    </row>
    <row r="452" spans="1:11" ht="15">
      <c r="A452" s="13">
        <v>55244</v>
      </c>
      <c r="B452" s="63">
        <f>6.8465 * CHOOSE(CONTROL!$C$22, $C$13, 100%, $E$13)</f>
        <v>6.8464999999999998</v>
      </c>
      <c r="C452" s="63">
        <f>6.8465 * CHOOSE(CONTROL!$C$22, $C$13, 100%, $E$13)</f>
        <v>6.8464999999999998</v>
      </c>
      <c r="D452" s="63">
        <f>6.8465 * CHOOSE(CONTROL!$C$22, $C$13, 100%, $E$13)</f>
        <v>6.8464999999999998</v>
      </c>
      <c r="E452" s="64">
        <f>8.251 * CHOOSE(CONTROL!$C$22, $C$13, 100%, $E$13)</f>
        <v>8.2509999999999994</v>
      </c>
      <c r="F452" s="64">
        <f>8.251 * CHOOSE(CONTROL!$C$22, $C$13, 100%, $E$13)</f>
        <v>8.2509999999999994</v>
      </c>
      <c r="G452" s="64">
        <f>8.2511 * CHOOSE(CONTROL!$C$22, $C$13, 100%, $E$13)</f>
        <v>8.2510999999999992</v>
      </c>
      <c r="H452" s="64">
        <f>13.8216* CHOOSE(CONTROL!$C$22, $C$13, 100%, $E$13)</f>
        <v>13.8216</v>
      </c>
      <c r="I452" s="64">
        <f>13.8216 * CHOOSE(CONTROL!$C$22, $C$13, 100%, $E$13)</f>
        <v>13.8216</v>
      </c>
      <c r="J452" s="64">
        <f>8.251 * CHOOSE(CONTROL!$C$22, $C$13, 100%, $E$13)</f>
        <v>8.2509999999999994</v>
      </c>
      <c r="K452" s="64">
        <f>8.2511 * CHOOSE(CONTROL!$C$22, $C$13, 100%, $E$13)</f>
        <v>8.2510999999999992</v>
      </c>
    </row>
    <row r="453" spans="1:11" ht="15">
      <c r="A453" s="13">
        <v>55274</v>
      </c>
      <c r="B453" s="63">
        <f>6.8465 * CHOOSE(CONTROL!$C$22, $C$13, 100%, $E$13)</f>
        <v>6.8464999999999998</v>
      </c>
      <c r="C453" s="63">
        <f>6.8465 * CHOOSE(CONTROL!$C$22, $C$13, 100%, $E$13)</f>
        <v>6.8464999999999998</v>
      </c>
      <c r="D453" s="63">
        <f>6.8546 * CHOOSE(CONTROL!$C$22, $C$13, 100%, $E$13)</f>
        <v>6.8545999999999996</v>
      </c>
      <c r="E453" s="64">
        <f>8.2934 * CHOOSE(CONTROL!$C$22, $C$13, 100%, $E$13)</f>
        <v>8.2934000000000001</v>
      </c>
      <c r="F453" s="64">
        <f>8.2934 * CHOOSE(CONTROL!$C$22, $C$13, 100%, $E$13)</f>
        <v>8.2934000000000001</v>
      </c>
      <c r="G453" s="64">
        <f>8.3032 * CHOOSE(CONTROL!$C$22, $C$13, 100%, $E$13)</f>
        <v>8.3032000000000004</v>
      </c>
      <c r="H453" s="64">
        <f>13.8504* CHOOSE(CONTROL!$C$22, $C$13, 100%, $E$13)</f>
        <v>13.8504</v>
      </c>
      <c r="I453" s="64">
        <f>13.8602 * CHOOSE(CONTROL!$C$22, $C$13, 100%, $E$13)</f>
        <v>13.860200000000001</v>
      </c>
      <c r="J453" s="64">
        <f>8.2934 * CHOOSE(CONTROL!$C$22, $C$13, 100%, $E$13)</f>
        <v>8.2934000000000001</v>
      </c>
      <c r="K453" s="64">
        <f>8.3032 * CHOOSE(CONTROL!$C$22, $C$13, 100%, $E$13)</f>
        <v>8.3032000000000004</v>
      </c>
    </row>
    <row r="454" spans="1:11" ht="15">
      <c r="A454" s="13">
        <v>55305</v>
      </c>
      <c r="B454" s="63">
        <f>6.8526 * CHOOSE(CONTROL!$C$22, $C$13, 100%, $E$13)</f>
        <v>6.8525999999999998</v>
      </c>
      <c r="C454" s="63">
        <f>6.8526 * CHOOSE(CONTROL!$C$22, $C$13, 100%, $E$13)</f>
        <v>6.8525999999999998</v>
      </c>
      <c r="D454" s="63">
        <f>6.8607 * CHOOSE(CONTROL!$C$22, $C$13, 100%, $E$13)</f>
        <v>6.8606999999999996</v>
      </c>
      <c r="E454" s="64">
        <f>8.2552 * CHOOSE(CONTROL!$C$22, $C$13, 100%, $E$13)</f>
        <v>8.2552000000000003</v>
      </c>
      <c r="F454" s="64">
        <f>8.2552 * CHOOSE(CONTROL!$C$22, $C$13, 100%, $E$13)</f>
        <v>8.2552000000000003</v>
      </c>
      <c r="G454" s="64">
        <f>8.2651 * CHOOSE(CONTROL!$C$22, $C$13, 100%, $E$13)</f>
        <v>8.2651000000000003</v>
      </c>
      <c r="H454" s="64">
        <f>13.8792* CHOOSE(CONTROL!$C$22, $C$13, 100%, $E$13)</f>
        <v>13.879200000000001</v>
      </c>
      <c r="I454" s="64">
        <f>13.889 * CHOOSE(CONTROL!$C$22, $C$13, 100%, $E$13)</f>
        <v>13.888999999999999</v>
      </c>
      <c r="J454" s="64">
        <f>8.2552 * CHOOSE(CONTROL!$C$22, $C$13, 100%, $E$13)</f>
        <v>8.2552000000000003</v>
      </c>
      <c r="K454" s="64">
        <f>8.2651 * CHOOSE(CONTROL!$C$22, $C$13, 100%, $E$13)</f>
        <v>8.2651000000000003</v>
      </c>
    </row>
    <row r="455" spans="1:11" ht="15">
      <c r="A455" s="13">
        <v>55335</v>
      </c>
      <c r="B455" s="63">
        <f>6.9616 * CHOOSE(CONTROL!$C$22, $C$13, 100%, $E$13)</f>
        <v>6.9615999999999998</v>
      </c>
      <c r="C455" s="63">
        <f>6.9616 * CHOOSE(CONTROL!$C$22, $C$13, 100%, $E$13)</f>
        <v>6.9615999999999998</v>
      </c>
      <c r="D455" s="63">
        <f>6.9697 * CHOOSE(CONTROL!$C$22, $C$13, 100%, $E$13)</f>
        <v>6.9696999999999996</v>
      </c>
      <c r="E455" s="64">
        <f>8.3922 * CHOOSE(CONTROL!$C$22, $C$13, 100%, $E$13)</f>
        <v>8.3922000000000008</v>
      </c>
      <c r="F455" s="64">
        <f>8.3922 * CHOOSE(CONTROL!$C$22, $C$13, 100%, $E$13)</f>
        <v>8.3922000000000008</v>
      </c>
      <c r="G455" s="64">
        <f>8.402 * CHOOSE(CONTROL!$C$22, $C$13, 100%, $E$13)</f>
        <v>8.4019999999999992</v>
      </c>
      <c r="H455" s="64">
        <f>13.9081* CHOOSE(CONTROL!$C$22, $C$13, 100%, $E$13)</f>
        <v>13.908099999999999</v>
      </c>
      <c r="I455" s="64">
        <f>13.918 * CHOOSE(CONTROL!$C$22, $C$13, 100%, $E$13)</f>
        <v>13.917999999999999</v>
      </c>
      <c r="J455" s="64">
        <f>8.3922 * CHOOSE(CONTROL!$C$22, $C$13, 100%, $E$13)</f>
        <v>8.3922000000000008</v>
      </c>
      <c r="K455" s="64">
        <f>8.402 * CHOOSE(CONTROL!$C$22, $C$13, 100%, $E$13)</f>
        <v>8.4019999999999992</v>
      </c>
    </row>
    <row r="456" spans="1:11" ht="15">
      <c r="A456" s="13">
        <v>55366</v>
      </c>
      <c r="B456" s="63">
        <f>6.9683 * CHOOSE(CONTROL!$C$22, $C$13, 100%, $E$13)</f>
        <v>6.9683000000000002</v>
      </c>
      <c r="C456" s="63">
        <f>6.9683 * CHOOSE(CONTROL!$C$22, $C$13, 100%, $E$13)</f>
        <v>6.9683000000000002</v>
      </c>
      <c r="D456" s="63">
        <f>6.9764 * CHOOSE(CONTROL!$C$22, $C$13, 100%, $E$13)</f>
        <v>6.9763999999999999</v>
      </c>
      <c r="E456" s="64">
        <f>8.2698 * CHOOSE(CONTROL!$C$22, $C$13, 100%, $E$13)</f>
        <v>8.2698</v>
      </c>
      <c r="F456" s="64">
        <f>8.2698 * CHOOSE(CONTROL!$C$22, $C$13, 100%, $E$13)</f>
        <v>8.2698</v>
      </c>
      <c r="G456" s="64">
        <f>8.2796 * CHOOSE(CONTROL!$C$22, $C$13, 100%, $E$13)</f>
        <v>8.2796000000000003</v>
      </c>
      <c r="H456" s="64">
        <f>13.9371* CHOOSE(CONTROL!$C$22, $C$13, 100%, $E$13)</f>
        <v>13.937099999999999</v>
      </c>
      <c r="I456" s="64">
        <f>13.9469 * CHOOSE(CONTROL!$C$22, $C$13, 100%, $E$13)</f>
        <v>13.946899999999999</v>
      </c>
      <c r="J456" s="64">
        <f>8.2698 * CHOOSE(CONTROL!$C$22, $C$13, 100%, $E$13)</f>
        <v>8.2698</v>
      </c>
      <c r="K456" s="64">
        <f>8.2796 * CHOOSE(CONTROL!$C$22, $C$13, 100%, $E$13)</f>
        <v>8.2796000000000003</v>
      </c>
    </row>
    <row r="457" spans="1:11" ht="15">
      <c r="A457" s="13">
        <v>55397</v>
      </c>
      <c r="B457" s="63">
        <f>6.9653 * CHOOSE(CONTROL!$C$22, $C$13, 100%, $E$13)</f>
        <v>6.9653</v>
      </c>
      <c r="C457" s="63">
        <f>6.9653 * CHOOSE(CONTROL!$C$22, $C$13, 100%, $E$13)</f>
        <v>6.9653</v>
      </c>
      <c r="D457" s="63">
        <f>6.9734 * CHOOSE(CONTROL!$C$22, $C$13, 100%, $E$13)</f>
        <v>6.9733999999999998</v>
      </c>
      <c r="E457" s="64">
        <f>8.2536 * CHOOSE(CONTROL!$C$22, $C$13, 100%, $E$13)</f>
        <v>8.2536000000000005</v>
      </c>
      <c r="F457" s="64">
        <f>8.2536 * CHOOSE(CONTROL!$C$22, $C$13, 100%, $E$13)</f>
        <v>8.2536000000000005</v>
      </c>
      <c r="G457" s="64">
        <f>8.2634 * CHOOSE(CONTROL!$C$22, $C$13, 100%, $E$13)</f>
        <v>8.2634000000000007</v>
      </c>
      <c r="H457" s="64">
        <f>13.9661* CHOOSE(CONTROL!$C$22, $C$13, 100%, $E$13)</f>
        <v>13.966100000000001</v>
      </c>
      <c r="I457" s="64">
        <f>13.976 * CHOOSE(CONTROL!$C$22, $C$13, 100%, $E$13)</f>
        <v>13.976000000000001</v>
      </c>
      <c r="J457" s="64">
        <f>8.2536 * CHOOSE(CONTROL!$C$22, $C$13, 100%, $E$13)</f>
        <v>8.2536000000000005</v>
      </c>
      <c r="K457" s="64">
        <f>8.2634 * CHOOSE(CONTROL!$C$22, $C$13, 100%, $E$13)</f>
        <v>8.2634000000000007</v>
      </c>
    </row>
    <row r="458" spans="1:11" ht="15">
      <c r="A458" s="13">
        <v>55427</v>
      </c>
      <c r="B458" s="63">
        <f>6.9701 * CHOOSE(CONTROL!$C$22, $C$13, 100%, $E$13)</f>
        <v>6.9701000000000004</v>
      </c>
      <c r="C458" s="63">
        <f>6.9701 * CHOOSE(CONTROL!$C$22, $C$13, 100%, $E$13)</f>
        <v>6.9701000000000004</v>
      </c>
      <c r="D458" s="63">
        <f>6.9701 * CHOOSE(CONTROL!$C$22, $C$13, 100%, $E$13)</f>
        <v>6.9701000000000004</v>
      </c>
      <c r="E458" s="64">
        <f>8.2966 * CHOOSE(CONTROL!$C$22, $C$13, 100%, $E$13)</f>
        <v>8.2965999999999998</v>
      </c>
      <c r="F458" s="64">
        <f>8.2966 * CHOOSE(CONTROL!$C$22, $C$13, 100%, $E$13)</f>
        <v>8.2965999999999998</v>
      </c>
      <c r="G458" s="64">
        <f>8.2967 * CHOOSE(CONTROL!$C$22, $C$13, 100%, $E$13)</f>
        <v>8.2966999999999995</v>
      </c>
      <c r="H458" s="64">
        <f>13.9952* CHOOSE(CONTROL!$C$22, $C$13, 100%, $E$13)</f>
        <v>13.995200000000001</v>
      </c>
      <c r="I458" s="64">
        <f>13.9953 * CHOOSE(CONTROL!$C$22, $C$13, 100%, $E$13)</f>
        <v>13.9953</v>
      </c>
      <c r="J458" s="64">
        <f>8.2966 * CHOOSE(CONTROL!$C$22, $C$13, 100%, $E$13)</f>
        <v>8.2965999999999998</v>
      </c>
      <c r="K458" s="64">
        <f>8.2967 * CHOOSE(CONTROL!$C$22, $C$13, 100%, $E$13)</f>
        <v>8.2966999999999995</v>
      </c>
    </row>
    <row r="459" spans="1:11" ht="15">
      <c r="A459" s="13">
        <v>55458</v>
      </c>
      <c r="B459" s="63">
        <f>6.9731 * CHOOSE(CONTROL!$C$22, $C$13, 100%, $E$13)</f>
        <v>6.9730999999999996</v>
      </c>
      <c r="C459" s="63">
        <f>6.9731 * CHOOSE(CONTROL!$C$22, $C$13, 100%, $E$13)</f>
        <v>6.9730999999999996</v>
      </c>
      <c r="D459" s="63">
        <f>6.9731 * CHOOSE(CONTROL!$C$22, $C$13, 100%, $E$13)</f>
        <v>6.9730999999999996</v>
      </c>
      <c r="E459" s="64">
        <f>8.327 * CHOOSE(CONTROL!$C$22, $C$13, 100%, $E$13)</f>
        <v>8.327</v>
      </c>
      <c r="F459" s="64">
        <f>8.327 * CHOOSE(CONTROL!$C$22, $C$13, 100%, $E$13)</f>
        <v>8.327</v>
      </c>
      <c r="G459" s="64">
        <f>8.3271 * CHOOSE(CONTROL!$C$22, $C$13, 100%, $E$13)</f>
        <v>8.3270999999999997</v>
      </c>
      <c r="H459" s="64">
        <f>14.0244* CHOOSE(CONTROL!$C$22, $C$13, 100%, $E$13)</f>
        <v>14.0244</v>
      </c>
      <c r="I459" s="64">
        <f>14.0245 * CHOOSE(CONTROL!$C$22, $C$13, 100%, $E$13)</f>
        <v>14.0245</v>
      </c>
      <c r="J459" s="64">
        <f>8.327 * CHOOSE(CONTROL!$C$22, $C$13, 100%, $E$13)</f>
        <v>8.327</v>
      </c>
      <c r="K459" s="64">
        <f>8.3271 * CHOOSE(CONTROL!$C$22, $C$13, 100%, $E$13)</f>
        <v>8.3270999999999997</v>
      </c>
    </row>
    <row r="460" spans="1:11" ht="15">
      <c r="A460" s="13">
        <v>55488</v>
      </c>
      <c r="B460" s="63">
        <f>6.9731 * CHOOSE(CONTROL!$C$22, $C$13, 100%, $E$13)</f>
        <v>6.9730999999999996</v>
      </c>
      <c r="C460" s="63">
        <f>6.9731 * CHOOSE(CONTROL!$C$22, $C$13, 100%, $E$13)</f>
        <v>6.9730999999999996</v>
      </c>
      <c r="D460" s="63">
        <f>6.9731 * CHOOSE(CONTROL!$C$22, $C$13, 100%, $E$13)</f>
        <v>6.9730999999999996</v>
      </c>
      <c r="E460" s="64">
        <f>8.2564 * CHOOSE(CONTROL!$C$22, $C$13, 100%, $E$13)</f>
        <v>8.2563999999999993</v>
      </c>
      <c r="F460" s="64">
        <f>8.2564 * CHOOSE(CONTROL!$C$22, $C$13, 100%, $E$13)</f>
        <v>8.2563999999999993</v>
      </c>
      <c r="G460" s="64">
        <f>8.2565 * CHOOSE(CONTROL!$C$22, $C$13, 100%, $E$13)</f>
        <v>8.2565000000000008</v>
      </c>
      <c r="H460" s="64">
        <f>14.0536* CHOOSE(CONTROL!$C$22, $C$13, 100%, $E$13)</f>
        <v>14.053599999999999</v>
      </c>
      <c r="I460" s="64">
        <f>14.0537 * CHOOSE(CONTROL!$C$22, $C$13, 100%, $E$13)</f>
        <v>14.053699999999999</v>
      </c>
      <c r="J460" s="64">
        <f>8.2564 * CHOOSE(CONTROL!$C$22, $C$13, 100%, $E$13)</f>
        <v>8.2563999999999993</v>
      </c>
      <c r="K460" s="64">
        <f>8.2565 * CHOOSE(CONTROL!$C$22, $C$13, 100%, $E$13)</f>
        <v>8.2565000000000008</v>
      </c>
    </row>
    <row r="461" spans="1:11" ht="15">
      <c r="A461" s="13">
        <v>55519</v>
      </c>
      <c r="B461" s="63">
        <f>7.0335 * CHOOSE(CONTROL!$C$22, $C$13, 100%, $E$13)</f>
        <v>7.0335000000000001</v>
      </c>
      <c r="C461" s="63">
        <f>7.0335 * CHOOSE(CONTROL!$C$22, $C$13, 100%, $E$13)</f>
        <v>7.0335000000000001</v>
      </c>
      <c r="D461" s="63">
        <f>7.0335 * CHOOSE(CONTROL!$C$22, $C$13, 100%, $E$13)</f>
        <v>7.0335000000000001</v>
      </c>
      <c r="E461" s="64">
        <f>8.3746 * CHOOSE(CONTROL!$C$22, $C$13, 100%, $E$13)</f>
        <v>8.3745999999999992</v>
      </c>
      <c r="F461" s="64">
        <f>8.3746 * CHOOSE(CONTROL!$C$22, $C$13, 100%, $E$13)</f>
        <v>8.3745999999999992</v>
      </c>
      <c r="G461" s="64">
        <f>8.3747 * CHOOSE(CONTROL!$C$22, $C$13, 100%, $E$13)</f>
        <v>8.3747000000000007</v>
      </c>
      <c r="H461" s="64">
        <f>14.0829* CHOOSE(CONTROL!$C$22, $C$13, 100%, $E$13)</f>
        <v>14.0829</v>
      </c>
      <c r="I461" s="64">
        <f>14.083 * CHOOSE(CONTROL!$C$22, $C$13, 100%, $E$13)</f>
        <v>14.083</v>
      </c>
      <c r="J461" s="64">
        <f>8.3746 * CHOOSE(CONTROL!$C$22, $C$13, 100%, $E$13)</f>
        <v>8.3745999999999992</v>
      </c>
      <c r="K461" s="64">
        <f>8.3747 * CHOOSE(CONTROL!$C$22, $C$13, 100%, $E$13)</f>
        <v>8.3747000000000007</v>
      </c>
    </row>
    <row r="462" spans="1:11" ht="15">
      <c r="A462" s="13">
        <v>55550</v>
      </c>
      <c r="B462" s="63">
        <f>7.0305 * CHOOSE(CONTROL!$C$22, $C$13, 100%, $E$13)</f>
        <v>7.0305</v>
      </c>
      <c r="C462" s="63">
        <f>7.0305 * CHOOSE(CONTROL!$C$22, $C$13, 100%, $E$13)</f>
        <v>7.0305</v>
      </c>
      <c r="D462" s="63">
        <f>7.0305 * CHOOSE(CONTROL!$C$22, $C$13, 100%, $E$13)</f>
        <v>7.0305</v>
      </c>
      <c r="E462" s="64">
        <f>8.2353 * CHOOSE(CONTROL!$C$22, $C$13, 100%, $E$13)</f>
        <v>8.2353000000000005</v>
      </c>
      <c r="F462" s="64">
        <f>8.2353 * CHOOSE(CONTROL!$C$22, $C$13, 100%, $E$13)</f>
        <v>8.2353000000000005</v>
      </c>
      <c r="G462" s="64">
        <f>8.2354 * CHOOSE(CONTROL!$C$22, $C$13, 100%, $E$13)</f>
        <v>8.2354000000000003</v>
      </c>
      <c r="H462" s="64">
        <f>14.1122* CHOOSE(CONTROL!$C$22, $C$13, 100%, $E$13)</f>
        <v>14.1122</v>
      </c>
      <c r="I462" s="64">
        <f>14.1123 * CHOOSE(CONTROL!$C$22, $C$13, 100%, $E$13)</f>
        <v>14.112299999999999</v>
      </c>
      <c r="J462" s="64">
        <f>8.2353 * CHOOSE(CONTROL!$C$22, $C$13, 100%, $E$13)</f>
        <v>8.2353000000000005</v>
      </c>
      <c r="K462" s="64">
        <f>8.2354 * CHOOSE(CONTROL!$C$22, $C$13, 100%, $E$13)</f>
        <v>8.2354000000000003</v>
      </c>
    </row>
    <row r="463" spans="1:11" ht="15">
      <c r="A463" s="13">
        <v>55579</v>
      </c>
      <c r="B463" s="63">
        <f>7.0274 * CHOOSE(CONTROL!$C$22, $C$13, 100%, $E$13)</f>
        <v>7.0274000000000001</v>
      </c>
      <c r="C463" s="63">
        <f>7.0274 * CHOOSE(CONTROL!$C$22, $C$13, 100%, $E$13)</f>
        <v>7.0274000000000001</v>
      </c>
      <c r="D463" s="63">
        <f>7.0274 * CHOOSE(CONTROL!$C$22, $C$13, 100%, $E$13)</f>
        <v>7.0274000000000001</v>
      </c>
      <c r="E463" s="64">
        <f>8.3413 * CHOOSE(CONTROL!$C$22, $C$13, 100%, $E$13)</f>
        <v>8.3413000000000004</v>
      </c>
      <c r="F463" s="64">
        <f>8.3413 * CHOOSE(CONTROL!$C$22, $C$13, 100%, $E$13)</f>
        <v>8.3413000000000004</v>
      </c>
      <c r="G463" s="64">
        <f>8.3414 * CHOOSE(CONTROL!$C$22, $C$13, 100%, $E$13)</f>
        <v>8.3414000000000001</v>
      </c>
      <c r="H463" s="64">
        <f>14.1416* CHOOSE(CONTROL!$C$22, $C$13, 100%, $E$13)</f>
        <v>14.1416</v>
      </c>
      <c r="I463" s="64">
        <f>14.1417 * CHOOSE(CONTROL!$C$22, $C$13, 100%, $E$13)</f>
        <v>14.1417</v>
      </c>
      <c r="J463" s="64">
        <f>8.3413 * CHOOSE(CONTROL!$C$22, $C$13, 100%, $E$13)</f>
        <v>8.3413000000000004</v>
      </c>
      <c r="K463" s="64">
        <f>8.3414 * CHOOSE(CONTROL!$C$22, $C$13, 100%, $E$13)</f>
        <v>8.3414000000000001</v>
      </c>
    </row>
    <row r="464" spans="1:11" ht="15">
      <c r="A464" s="13">
        <v>55610</v>
      </c>
      <c r="B464" s="63">
        <f>7.0277 * CHOOSE(CONTROL!$C$22, $C$13, 100%, $E$13)</f>
        <v>7.0277000000000003</v>
      </c>
      <c r="C464" s="63">
        <f>7.0277 * CHOOSE(CONTROL!$C$22, $C$13, 100%, $E$13)</f>
        <v>7.0277000000000003</v>
      </c>
      <c r="D464" s="63">
        <f>7.0277 * CHOOSE(CONTROL!$C$22, $C$13, 100%, $E$13)</f>
        <v>7.0277000000000003</v>
      </c>
      <c r="E464" s="64">
        <f>8.4532 * CHOOSE(CONTROL!$C$22, $C$13, 100%, $E$13)</f>
        <v>8.4532000000000007</v>
      </c>
      <c r="F464" s="64">
        <f>8.4532 * CHOOSE(CONTROL!$C$22, $C$13, 100%, $E$13)</f>
        <v>8.4532000000000007</v>
      </c>
      <c r="G464" s="64">
        <f>8.4533 * CHOOSE(CONTROL!$C$22, $C$13, 100%, $E$13)</f>
        <v>8.4533000000000005</v>
      </c>
      <c r="H464" s="64">
        <f>14.1711* CHOOSE(CONTROL!$C$22, $C$13, 100%, $E$13)</f>
        <v>14.171099999999999</v>
      </c>
      <c r="I464" s="64">
        <f>14.1712 * CHOOSE(CONTROL!$C$22, $C$13, 100%, $E$13)</f>
        <v>14.171200000000001</v>
      </c>
      <c r="J464" s="64">
        <f>8.4532 * CHOOSE(CONTROL!$C$22, $C$13, 100%, $E$13)</f>
        <v>8.4532000000000007</v>
      </c>
      <c r="K464" s="64">
        <f>8.4533 * CHOOSE(CONTROL!$C$22, $C$13, 100%, $E$13)</f>
        <v>8.4533000000000005</v>
      </c>
    </row>
    <row r="465" spans="1:11" ht="15">
      <c r="A465" s="13">
        <v>55640</v>
      </c>
      <c r="B465" s="63">
        <f>7.0277 * CHOOSE(CONTROL!$C$22, $C$13, 100%, $E$13)</f>
        <v>7.0277000000000003</v>
      </c>
      <c r="C465" s="63">
        <f>7.0277 * CHOOSE(CONTROL!$C$22, $C$13, 100%, $E$13)</f>
        <v>7.0277000000000003</v>
      </c>
      <c r="D465" s="63">
        <f>7.0358 * CHOOSE(CONTROL!$C$22, $C$13, 100%, $E$13)</f>
        <v>7.0358000000000001</v>
      </c>
      <c r="E465" s="64">
        <f>8.4967 * CHOOSE(CONTROL!$C$22, $C$13, 100%, $E$13)</f>
        <v>8.4967000000000006</v>
      </c>
      <c r="F465" s="64">
        <f>8.4967 * CHOOSE(CONTROL!$C$22, $C$13, 100%, $E$13)</f>
        <v>8.4967000000000006</v>
      </c>
      <c r="G465" s="64">
        <f>8.5066 * CHOOSE(CONTROL!$C$22, $C$13, 100%, $E$13)</f>
        <v>8.5066000000000006</v>
      </c>
      <c r="H465" s="64">
        <f>14.2006* CHOOSE(CONTROL!$C$22, $C$13, 100%, $E$13)</f>
        <v>14.2006</v>
      </c>
      <c r="I465" s="64">
        <f>14.2104 * CHOOSE(CONTROL!$C$22, $C$13, 100%, $E$13)</f>
        <v>14.2104</v>
      </c>
      <c r="J465" s="64">
        <f>8.4967 * CHOOSE(CONTROL!$C$22, $C$13, 100%, $E$13)</f>
        <v>8.4967000000000006</v>
      </c>
      <c r="K465" s="64">
        <f>8.5066 * CHOOSE(CONTROL!$C$22, $C$13, 100%, $E$13)</f>
        <v>8.5066000000000006</v>
      </c>
    </row>
    <row r="466" spans="1:11" ht="15">
      <c r="A466" s="13">
        <v>55671</v>
      </c>
      <c r="B466" s="63">
        <f>7.0338 * CHOOSE(CONTROL!$C$22, $C$13, 100%, $E$13)</f>
        <v>7.0338000000000003</v>
      </c>
      <c r="C466" s="63">
        <f>7.0338 * CHOOSE(CONTROL!$C$22, $C$13, 100%, $E$13)</f>
        <v>7.0338000000000003</v>
      </c>
      <c r="D466" s="63">
        <f>7.0419 * CHOOSE(CONTROL!$C$22, $C$13, 100%, $E$13)</f>
        <v>7.0419</v>
      </c>
      <c r="E466" s="64">
        <f>8.4574 * CHOOSE(CONTROL!$C$22, $C$13, 100%, $E$13)</f>
        <v>8.4573999999999998</v>
      </c>
      <c r="F466" s="64">
        <f>8.4574 * CHOOSE(CONTROL!$C$22, $C$13, 100%, $E$13)</f>
        <v>8.4573999999999998</v>
      </c>
      <c r="G466" s="64">
        <f>8.4673 * CHOOSE(CONTROL!$C$22, $C$13, 100%, $E$13)</f>
        <v>8.4672999999999998</v>
      </c>
      <c r="H466" s="64">
        <f>14.2302* CHOOSE(CONTROL!$C$22, $C$13, 100%, $E$13)</f>
        <v>14.2302</v>
      </c>
      <c r="I466" s="64">
        <f>14.24 * CHOOSE(CONTROL!$C$22, $C$13, 100%, $E$13)</f>
        <v>14.24</v>
      </c>
      <c r="J466" s="64">
        <f>8.4574 * CHOOSE(CONTROL!$C$22, $C$13, 100%, $E$13)</f>
        <v>8.4573999999999998</v>
      </c>
      <c r="K466" s="64">
        <f>8.4673 * CHOOSE(CONTROL!$C$22, $C$13, 100%, $E$13)</f>
        <v>8.4672999999999998</v>
      </c>
    </row>
    <row r="467" spans="1:11" ht="15">
      <c r="A467" s="13">
        <v>55701</v>
      </c>
      <c r="B467" s="63">
        <f>7.1454 * CHOOSE(CONTROL!$C$22, $C$13, 100%, $E$13)</f>
        <v>7.1454000000000004</v>
      </c>
      <c r="C467" s="63">
        <f>7.1454 * CHOOSE(CONTROL!$C$22, $C$13, 100%, $E$13)</f>
        <v>7.1454000000000004</v>
      </c>
      <c r="D467" s="63">
        <f>7.1535 * CHOOSE(CONTROL!$C$22, $C$13, 100%, $E$13)</f>
        <v>7.1535000000000002</v>
      </c>
      <c r="E467" s="64">
        <f>8.5975 * CHOOSE(CONTROL!$C$22, $C$13, 100%, $E$13)</f>
        <v>8.5975000000000001</v>
      </c>
      <c r="F467" s="64">
        <f>8.5975 * CHOOSE(CONTROL!$C$22, $C$13, 100%, $E$13)</f>
        <v>8.5975000000000001</v>
      </c>
      <c r="G467" s="64">
        <f>8.6073 * CHOOSE(CONTROL!$C$22, $C$13, 100%, $E$13)</f>
        <v>8.6073000000000004</v>
      </c>
      <c r="H467" s="64">
        <f>14.2598* CHOOSE(CONTROL!$C$22, $C$13, 100%, $E$13)</f>
        <v>14.2598</v>
      </c>
      <c r="I467" s="64">
        <f>14.2697 * CHOOSE(CONTROL!$C$22, $C$13, 100%, $E$13)</f>
        <v>14.2697</v>
      </c>
      <c r="J467" s="64">
        <f>8.5975 * CHOOSE(CONTROL!$C$22, $C$13, 100%, $E$13)</f>
        <v>8.5975000000000001</v>
      </c>
      <c r="K467" s="64">
        <f>8.6073 * CHOOSE(CONTROL!$C$22, $C$13, 100%, $E$13)</f>
        <v>8.6073000000000004</v>
      </c>
    </row>
    <row r="468" spans="1:11" ht="15">
      <c r="A468" s="13">
        <v>55732</v>
      </c>
      <c r="B468" s="63">
        <f>7.1521 * CHOOSE(CONTROL!$C$22, $C$13, 100%, $E$13)</f>
        <v>7.1520999999999999</v>
      </c>
      <c r="C468" s="63">
        <f>7.1521 * CHOOSE(CONTROL!$C$22, $C$13, 100%, $E$13)</f>
        <v>7.1520999999999999</v>
      </c>
      <c r="D468" s="63">
        <f>7.1602 * CHOOSE(CONTROL!$C$22, $C$13, 100%, $E$13)</f>
        <v>7.1601999999999997</v>
      </c>
      <c r="E468" s="64">
        <f>8.4715 * CHOOSE(CONTROL!$C$22, $C$13, 100%, $E$13)</f>
        <v>8.4715000000000007</v>
      </c>
      <c r="F468" s="64">
        <f>8.4715 * CHOOSE(CONTROL!$C$22, $C$13, 100%, $E$13)</f>
        <v>8.4715000000000007</v>
      </c>
      <c r="G468" s="64">
        <f>8.4813 * CHOOSE(CONTROL!$C$22, $C$13, 100%, $E$13)</f>
        <v>8.4812999999999992</v>
      </c>
      <c r="H468" s="64">
        <f>14.2896* CHOOSE(CONTROL!$C$22, $C$13, 100%, $E$13)</f>
        <v>14.2896</v>
      </c>
      <c r="I468" s="64">
        <f>14.2994 * CHOOSE(CONTROL!$C$22, $C$13, 100%, $E$13)</f>
        <v>14.2994</v>
      </c>
      <c r="J468" s="64">
        <f>8.4715 * CHOOSE(CONTROL!$C$22, $C$13, 100%, $E$13)</f>
        <v>8.4715000000000007</v>
      </c>
      <c r="K468" s="64">
        <f>8.4813 * CHOOSE(CONTROL!$C$22, $C$13, 100%, $E$13)</f>
        <v>8.4812999999999992</v>
      </c>
    </row>
    <row r="469" spans="1:11" ht="15">
      <c r="A469" s="13">
        <v>55763</v>
      </c>
      <c r="B469" s="63">
        <f>7.149 * CHOOSE(CONTROL!$C$22, $C$13, 100%, $E$13)</f>
        <v>7.149</v>
      </c>
      <c r="C469" s="63">
        <f>7.149 * CHOOSE(CONTROL!$C$22, $C$13, 100%, $E$13)</f>
        <v>7.149</v>
      </c>
      <c r="D469" s="63">
        <f>7.1571 * CHOOSE(CONTROL!$C$22, $C$13, 100%, $E$13)</f>
        <v>7.1570999999999998</v>
      </c>
      <c r="E469" s="64">
        <f>8.4549 * CHOOSE(CONTROL!$C$22, $C$13, 100%, $E$13)</f>
        <v>8.4549000000000003</v>
      </c>
      <c r="F469" s="64">
        <f>8.4549 * CHOOSE(CONTROL!$C$22, $C$13, 100%, $E$13)</f>
        <v>8.4549000000000003</v>
      </c>
      <c r="G469" s="64">
        <f>8.4647 * CHOOSE(CONTROL!$C$22, $C$13, 100%, $E$13)</f>
        <v>8.4647000000000006</v>
      </c>
      <c r="H469" s="64">
        <f>14.3193* CHOOSE(CONTROL!$C$22, $C$13, 100%, $E$13)</f>
        <v>14.3193</v>
      </c>
      <c r="I469" s="64">
        <f>14.3292 * CHOOSE(CONTROL!$C$22, $C$13, 100%, $E$13)</f>
        <v>14.3292</v>
      </c>
      <c r="J469" s="64">
        <f>8.4549 * CHOOSE(CONTROL!$C$22, $C$13, 100%, $E$13)</f>
        <v>8.4549000000000003</v>
      </c>
      <c r="K469" s="64">
        <f>8.4647 * CHOOSE(CONTROL!$C$22, $C$13, 100%, $E$13)</f>
        <v>8.4647000000000006</v>
      </c>
    </row>
    <row r="470" spans="1:11" ht="15">
      <c r="A470" s="13">
        <v>55793</v>
      </c>
      <c r="B470" s="63">
        <f>7.1545 * CHOOSE(CONTROL!$C$22, $C$13, 100%, $E$13)</f>
        <v>7.1544999999999996</v>
      </c>
      <c r="C470" s="63">
        <f>7.1545 * CHOOSE(CONTROL!$C$22, $C$13, 100%, $E$13)</f>
        <v>7.1544999999999996</v>
      </c>
      <c r="D470" s="63">
        <f>7.1545 * CHOOSE(CONTROL!$C$22, $C$13, 100%, $E$13)</f>
        <v>7.1544999999999996</v>
      </c>
      <c r="E470" s="64">
        <f>8.4995 * CHOOSE(CONTROL!$C$22, $C$13, 100%, $E$13)</f>
        <v>8.4994999999999994</v>
      </c>
      <c r="F470" s="64">
        <f>8.4995 * CHOOSE(CONTROL!$C$22, $C$13, 100%, $E$13)</f>
        <v>8.4994999999999994</v>
      </c>
      <c r="G470" s="64">
        <f>8.4996 * CHOOSE(CONTROL!$C$22, $C$13, 100%, $E$13)</f>
        <v>8.4995999999999992</v>
      </c>
      <c r="H470" s="64">
        <f>14.3492* CHOOSE(CONTROL!$C$22, $C$13, 100%, $E$13)</f>
        <v>14.3492</v>
      </c>
      <c r="I470" s="64">
        <f>14.3492 * CHOOSE(CONTROL!$C$22, $C$13, 100%, $E$13)</f>
        <v>14.3492</v>
      </c>
      <c r="J470" s="64">
        <f>8.4995 * CHOOSE(CONTROL!$C$22, $C$13, 100%, $E$13)</f>
        <v>8.4994999999999994</v>
      </c>
      <c r="K470" s="64">
        <f>8.4996 * CHOOSE(CONTROL!$C$22, $C$13, 100%, $E$13)</f>
        <v>8.4995999999999992</v>
      </c>
    </row>
    <row r="471" spans="1:11" ht="15">
      <c r="A471" s="13">
        <v>55824</v>
      </c>
      <c r="B471" s="63">
        <f>7.1575 * CHOOSE(CONTROL!$C$22, $C$13, 100%, $E$13)</f>
        <v>7.1574999999999998</v>
      </c>
      <c r="C471" s="63">
        <f>7.1575 * CHOOSE(CONTROL!$C$22, $C$13, 100%, $E$13)</f>
        <v>7.1574999999999998</v>
      </c>
      <c r="D471" s="63">
        <f>7.1575 * CHOOSE(CONTROL!$C$22, $C$13, 100%, $E$13)</f>
        <v>7.1574999999999998</v>
      </c>
      <c r="E471" s="64">
        <f>8.5307 * CHOOSE(CONTROL!$C$22, $C$13, 100%, $E$13)</f>
        <v>8.5306999999999995</v>
      </c>
      <c r="F471" s="64">
        <f>8.5307 * CHOOSE(CONTROL!$C$22, $C$13, 100%, $E$13)</f>
        <v>8.5306999999999995</v>
      </c>
      <c r="G471" s="64">
        <f>8.5308 * CHOOSE(CONTROL!$C$22, $C$13, 100%, $E$13)</f>
        <v>8.5307999999999993</v>
      </c>
      <c r="H471" s="64">
        <f>14.3791* CHOOSE(CONTROL!$C$22, $C$13, 100%, $E$13)</f>
        <v>14.379099999999999</v>
      </c>
      <c r="I471" s="64">
        <f>14.3791 * CHOOSE(CONTROL!$C$22, $C$13, 100%, $E$13)</f>
        <v>14.379099999999999</v>
      </c>
      <c r="J471" s="64">
        <f>8.5307 * CHOOSE(CONTROL!$C$22, $C$13, 100%, $E$13)</f>
        <v>8.5306999999999995</v>
      </c>
      <c r="K471" s="64">
        <f>8.5308 * CHOOSE(CONTROL!$C$22, $C$13, 100%, $E$13)</f>
        <v>8.5307999999999993</v>
      </c>
    </row>
    <row r="472" spans="1:11" ht="15">
      <c r="A472" s="13">
        <v>55854</v>
      </c>
      <c r="B472" s="63">
        <f>7.1575 * CHOOSE(CONTROL!$C$22, $C$13, 100%, $E$13)</f>
        <v>7.1574999999999998</v>
      </c>
      <c r="C472" s="63">
        <f>7.1575 * CHOOSE(CONTROL!$C$22, $C$13, 100%, $E$13)</f>
        <v>7.1574999999999998</v>
      </c>
      <c r="D472" s="63">
        <f>7.1575 * CHOOSE(CONTROL!$C$22, $C$13, 100%, $E$13)</f>
        <v>7.1574999999999998</v>
      </c>
      <c r="E472" s="64">
        <f>8.4581 * CHOOSE(CONTROL!$C$22, $C$13, 100%, $E$13)</f>
        <v>8.4581</v>
      </c>
      <c r="F472" s="64">
        <f>8.4581 * CHOOSE(CONTROL!$C$22, $C$13, 100%, $E$13)</f>
        <v>8.4581</v>
      </c>
      <c r="G472" s="64">
        <f>8.4582 * CHOOSE(CONTROL!$C$22, $C$13, 100%, $E$13)</f>
        <v>8.4581999999999997</v>
      </c>
      <c r="H472" s="64">
        <f>14.409* CHOOSE(CONTROL!$C$22, $C$13, 100%, $E$13)</f>
        <v>14.409000000000001</v>
      </c>
      <c r="I472" s="64">
        <f>14.4091 * CHOOSE(CONTROL!$C$22, $C$13, 100%, $E$13)</f>
        <v>14.4091</v>
      </c>
      <c r="J472" s="64">
        <f>8.4581 * CHOOSE(CONTROL!$C$22, $C$13, 100%, $E$13)</f>
        <v>8.4581</v>
      </c>
      <c r="K472" s="64">
        <f>8.4582 * CHOOSE(CONTROL!$C$22, $C$13, 100%, $E$13)</f>
        <v>8.4581999999999997</v>
      </c>
    </row>
    <row r="473" spans="1:11" ht="15">
      <c r="A473" s="13">
        <v>55885</v>
      </c>
      <c r="B473" s="63">
        <f>7.2193 * CHOOSE(CONTROL!$C$22, $C$13, 100%, $E$13)</f>
        <v>7.2192999999999996</v>
      </c>
      <c r="C473" s="63">
        <f>7.2193 * CHOOSE(CONTROL!$C$22, $C$13, 100%, $E$13)</f>
        <v>7.2192999999999996</v>
      </c>
      <c r="D473" s="63">
        <f>7.2194 * CHOOSE(CONTROL!$C$22, $C$13, 100%, $E$13)</f>
        <v>7.2194000000000003</v>
      </c>
      <c r="E473" s="64">
        <f>8.5793 * CHOOSE(CONTROL!$C$22, $C$13, 100%, $E$13)</f>
        <v>8.5792999999999999</v>
      </c>
      <c r="F473" s="64">
        <f>8.5793 * CHOOSE(CONTROL!$C$22, $C$13, 100%, $E$13)</f>
        <v>8.5792999999999999</v>
      </c>
      <c r="G473" s="64">
        <f>8.5794 * CHOOSE(CONTROL!$C$22, $C$13, 100%, $E$13)</f>
        <v>8.5793999999999997</v>
      </c>
      <c r="H473" s="64">
        <f>14.439* CHOOSE(CONTROL!$C$22, $C$13, 100%, $E$13)</f>
        <v>14.439</v>
      </c>
      <c r="I473" s="64">
        <f>14.4391 * CHOOSE(CONTROL!$C$22, $C$13, 100%, $E$13)</f>
        <v>14.4391</v>
      </c>
      <c r="J473" s="64">
        <f>8.5793 * CHOOSE(CONTROL!$C$22, $C$13, 100%, $E$13)</f>
        <v>8.5792999999999999</v>
      </c>
      <c r="K473" s="64">
        <f>8.5794 * CHOOSE(CONTROL!$C$22, $C$13, 100%, $E$13)</f>
        <v>8.5793999999999997</v>
      </c>
    </row>
    <row r="474" spans="1:11" ht="15">
      <c r="A474" s="13">
        <v>55916</v>
      </c>
      <c r="B474" s="63">
        <f>7.2163 * CHOOSE(CONTROL!$C$22, $C$13, 100%, $E$13)</f>
        <v>7.2163000000000004</v>
      </c>
      <c r="C474" s="63">
        <f>7.2163 * CHOOSE(CONTROL!$C$22, $C$13, 100%, $E$13)</f>
        <v>7.2163000000000004</v>
      </c>
      <c r="D474" s="63">
        <f>7.2163 * CHOOSE(CONTROL!$C$22, $C$13, 100%, $E$13)</f>
        <v>7.2163000000000004</v>
      </c>
      <c r="E474" s="64">
        <f>8.4362 * CHOOSE(CONTROL!$C$22, $C$13, 100%, $E$13)</f>
        <v>8.4361999999999995</v>
      </c>
      <c r="F474" s="64">
        <f>8.4362 * CHOOSE(CONTROL!$C$22, $C$13, 100%, $E$13)</f>
        <v>8.4361999999999995</v>
      </c>
      <c r="G474" s="64">
        <f>8.4363 * CHOOSE(CONTROL!$C$22, $C$13, 100%, $E$13)</f>
        <v>8.4362999999999992</v>
      </c>
      <c r="H474" s="64">
        <f>14.4691* CHOOSE(CONTROL!$C$22, $C$13, 100%, $E$13)</f>
        <v>14.469099999999999</v>
      </c>
      <c r="I474" s="64">
        <f>14.4692 * CHOOSE(CONTROL!$C$22, $C$13, 100%, $E$13)</f>
        <v>14.469200000000001</v>
      </c>
      <c r="J474" s="64">
        <f>8.4362 * CHOOSE(CONTROL!$C$22, $C$13, 100%, $E$13)</f>
        <v>8.4361999999999995</v>
      </c>
      <c r="K474" s="64">
        <f>8.4363 * CHOOSE(CONTROL!$C$22, $C$13, 100%, $E$13)</f>
        <v>8.4362999999999992</v>
      </c>
    </row>
    <row r="475" spans="1:11" ht="15">
      <c r="A475" s="13">
        <v>55944</v>
      </c>
      <c r="B475" s="63">
        <f>7.2133 * CHOOSE(CONTROL!$C$22, $C$13, 100%, $E$13)</f>
        <v>7.2133000000000003</v>
      </c>
      <c r="C475" s="63">
        <f>7.2133 * CHOOSE(CONTROL!$C$22, $C$13, 100%, $E$13)</f>
        <v>7.2133000000000003</v>
      </c>
      <c r="D475" s="63">
        <f>7.2133 * CHOOSE(CONTROL!$C$22, $C$13, 100%, $E$13)</f>
        <v>7.2133000000000003</v>
      </c>
      <c r="E475" s="64">
        <f>8.5452 * CHOOSE(CONTROL!$C$22, $C$13, 100%, $E$13)</f>
        <v>8.5451999999999995</v>
      </c>
      <c r="F475" s="64">
        <f>8.5452 * CHOOSE(CONTROL!$C$22, $C$13, 100%, $E$13)</f>
        <v>8.5451999999999995</v>
      </c>
      <c r="G475" s="64">
        <f>8.5453 * CHOOSE(CONTROL!$C$22, $C$13, 100%, $E$13)</f>
        <v>8.5452999999999992</v>
      </c>
      <c r="H475" s="64">
        <f>14.4993* CHOOSE(CONTROL!$C$22, $C$13, 100%, $E$13)</f>
        <v>14.4993</v>
      </c>
      <c r="I475" s="64">
        <f>14.4993 * CHOOSE(CONTROL!$C$22, $C$13, 100%, $E$13)</f>
        <v>14.4993</v>
      </c>
      <c r="J475" s="64">
        <f>8.5452 * CHOOSE(CONTROL!$C$22, $C$13, 100%, $E$13)</f>
        <v>8.5451999999999995</v>
      </c>
      <c r="K475" s="64">
        <f>8.5453 * CHOOSE(CONTROL!$C$22, $C$13, 100%, $E$13)</f>
        <v>8.5452999999999992</v>
      </c>
    </row>
    <row r="476" spans="1:11" ht="15">
      <c r="A476" s="13">
        <v>55975</v>
      </c>
      <c r="B476" s="63">
        <f>7.2137 * CHOOSE(CONTROL!$C$22, $C$13, 100%, $E$13)</f>
        <v>7.2137000000000002</v>
      </c>
      <c r="C476" s="63">
        <f>7.2137 * CHOOSE(CONTROL!$C$22, $C$13, 100%, $E$13)</f>
        <v>7.2137000000000002</v>
      </c>
      <c r="D476" s="63">
        <f>7.2137 * CHOOSE(CONTROL!$C$22, $C$13, 100%, $E$13)</f>
        <v>7.2137000000000002</v>
      </c>
      <c r="E476" s="64">
        <f>8.6604 * CHOOSE(CONTROL!$C$22, $C$13, 100%, $E$13)</f>
        <v>8.6603999999999992</v>
      </c>
      <c r="F476" s="64">
        <f>8.6604 * CHOOSE(CONTROL!$C$22, $C$13, 100%, $E$13)</f>
        <v>8.6603999999999992</v>
      </c>
      <c r="G476" s="64">
        <f>8.6605 * CHOOSE(CONTROL!$C$22, $C$13, 100%, $E$13)</f>
        <v>8.6605000000000008</v>
      </c>
      <c r="H476" s="64">
        <f>14.5295* CHOOSE(CONTROL!$C$22, $C$13, 100%, $E$13)</f>
        <v>14.529500000000001</v>
      </c>
      <c r="I476" s="64">
        <f>14.5295 * CHOOSE(CONTROL!$C$22, $C$13, 100%, $E$13)</f>
        <v>14.529500000000001</v>
      </c>
      <c r="J476" s="64">
        <f>8.6604 * CHOOSE(CONTROL!$C$22, $C$13, 100%, $E$13)</f>
        <v>8.6603999999999992</v>
      </c>
      <c r="K476" s="64">
        <f>8.6605 * CHOOSE(CONTROL!$C$22, $C$13, 100%, $E$13)</f>
        <v>8.6605000000000008</v>
      </c>
    </row>
    <row r="477" spans="1:11" ht="15">
      <c r="A477" s="13">
        <v>56005</v>
      </c>
      <c r="B477" s="63">
        <f>7.2137 * CHOOSE(CONTROL!$C$22, $C$13, 100%, $E$13)</f>
        <v>7.2137000000000002</v>
      </c>
      <c r="C477" s="63">
        <f>7.2137 * CHOOSE(CONTROL!$C$22, $C$13, 100%, $E$13)</f>
        <v>7.2137000000000002</v>
      </c>
      <c r="D477" s="63">
        <f>7.2218 * CHOOSE(CONTROL!$C$22, $C$13, 100%, $E$13)</f>
        <v>7.2218</v>
      </c>
      <c r="E477" s="64">
        <f>8.7051 * CHOOSE(CONTROL!$C$22, $C$13, 100%, $E$13)</f>
        <v>8.7050999999999998</v>
      </c>
      <c r="F477" s="64">
        <f>8.7051 * CHOOSE(CONTROL!$C$22, $C$13, 100%, $E$13)</f>
        <v>8.7050999999999998</v>
      </c>
      <c r="G477" s="64">
        <f>8.715 * CHOOSE(CONTROL!$C$22, $C$13, 100%, $E$13)</f>
        <v>8.7149999999999999</v>
      </c>
      <c r="H477" s="64">
        <f>14.5597* CHOOSE(CONTROL!$C$22, $C$13, 100%, $E$13)</f>
        <v>14.559699999999999</v>
      </c>
      <c r="I477" s="64">
        <f>14.5696 * CHOOSE(CONTROL!$C$22, $C$13, 100%, $E$13)</f>
        <v>14.569599999999999</v>
      </c>
      <c r="J477" s="64">
        <f>8.7051 * CHOOSE(CONTROL!$C$22, $C$13, 100%, $E$13)</f>
        <v>8.7050999999999998</v>
      </c>
      <c r="K477" s="64">
        <f>8.715 * CHOOSE(CONTROL!$C$22, $C$13, 100%, $E$13)</f>
        <v>8.7149999999999999</v>
      </c>
    </row>
    <row r="478" spans="1:11" ht="15">
      <c r="A478" s="13">
        <v>56036</v>
      </c>
      <c r="B478" s="63">
        <f>7.2198 * CHOOSE(CONTROL!$C$22, $C$13, 100%, $E$13)</f>
        <v>7.2198000000000002</v>
      </c>
      <c r="C478" s="63">
        <f>7.2198 * CHOOSE(CONTROL!$C$22, $C$13, 100%, $E$13)</f>
        <v>7.2198000000000002</v>
      </c>
      <c r="D478" s="63">
        <f>7.2279 * CHOOSE(CONTROL!$C$22, $C$13, 100%, $E$13)</f>
        <v>7.2279</v>
      </c>
      <c r="E478" s="64">
        <f>8.6646 * CHOOSE(CONTROL!$C$22, $C$13, 100%, $E$13)</f>
        <v>8.6646000000000001</v>
      </c>
      <c r="F478" s="64">
        <f>8.6646 * CHOOSE(CONTROL!$C$22, $C$13, 100%, $E$13)</f>
        <v>8.6646000000000001</v>
      </c>
      <c r="G478" s="64">
        <f>8.6744 * CHOOSE(CONTROL!$C$22, $C$13, 100%, $E$13)</f>
        <v>8.6744000000000003</v>
      </c>
      <c r="H478" s="64">
        <f>14.5901* CHOOSE(CONTROL!$C$22, $C$13, 100%, $E$13)</f>
        <v>14.5901</v>
      </c>
      <c r="I478" s="64">
        <f>14.5999 * CHOOSE(CONTROL!$C$22, $C$13, 100%, $E$13)</f>
        <v>14.5999</v>
      </c>
      <c r="J478" s="64">
        <f>8.6646 * CHOOSE(CONTROL!$C$22, $C$13, 100%, $E$13)</f>
        <v>8.6646000000000001</v>
      </c>
      <c r="K478" s="64">
        <f>8.6744 * CHOOSE(CONTROL!$C$22, $C$13, 100%, $E$13)</f>
        <v>8.6744000000000003</v>
      </c>
    </row>
    <row r="479" spans="1:11" ht="15">
      <c r="A479" s="13">
        <v>56066</v>
      </c>
      <c r="B479" s="63">
        <f>7.334 * CHOOSE(CONTROL!$C$22, $C$13, 100%, $E$13)</f>
        <v>7.3339999999999996</v>
      </c>
      <c r="C479" s="63">
        <f>7.334 * CHOOSE(CONTROL!$C$22, $C$13, 100%, $E$13)</f>
        <v>7.3339999999999996</v>
      </c>
      <c r="D479" s="63">
        <f>7.3422 * CHOOSE(CONTROL!$C$22, $C$13, 100%, $E$13)</f>
        <v>7.3422000000000001</v>
      </c>
      <c r="E479" s="64">
        <f>8.8078 * CHOOSE(CONTROL!$C$22, $C$13, 100%, $E$13)</f>
        <v>8.8078000000000003</v>
      </c>
      <c r="F479" s="64">
        <f>8.8078 * CHOOSE(CONTROL!$C$22, $C$13, 100%, $E$13)</f>
        <v>8.8078000000000003</v>
      </c>
      <c r="G479" s="64">
        <f>8.8177 * CHOOSE(CONTROL!$C$22, $C$13, 100%, $E$13)</f>
        <v>8.8177000000000003</v>
      </c>
      <c r="H479" s="64">
        <f>14.6205* CHOOSE(CONTROL!$C$22, $C$13, 100%, $E$13)</f>
        <v>14.6205</v>
      </c>
      <c r="I479" s="64">
        <f>14.6303 * CHOOSE(CONTROL!$C$22, $C$13, 100%, $E$13)</f>
        <v>14.6303</v>
      </c>
      <c r="J479" s="64">
        <f>8.8078 * CHOOSE(CONTROL!$C$22, $C$13, 100%, $E$13)</f>
        <v>8.8078000000000003</v>
      </c>
      <c r="K479" s="64">
        <f>8.8177 * CHOOSE(CONTROL!$C$22, $C$13, 100%, $E$13)</f>
        <v>8.8177000000000003</v>
      </c>
    </row>
    <row r="480" spans="1:11" ht="15">
      <c r="A480" s="13">
        <v>56097</v>
      </c>
      <c r="B480" s="63">
        <f>7.3407 * CHOOSE(CONTROL!$C$22, $C$13, 100%, $E$13)</f>
        <v>7.3407</v>
      </c>
      <c r="C480" s="63">
        <f>7.3407 * CHOOSE(CONTROL!$C$22, $C$13, 100%, $E$13)</f>
        <v>7.3407</v>
      </c>
      <c r="D480" s="63">
        <f>7.3488 * CHOOSE(CONTROL!$C$22, $C$13, 100%, $E$13)</f>
        <v>7.3487999999999998</v>
      </c>
      <c r="E480" s="64">
        <f>8.6782 * CHOOSE(CONTROL!$C$22, $C$13, 100%, $E$13)</f>
        <v>8.6782000000000004</v>
      </c>
      <c r="F480" s="64">
        <f>8.6782 * CHOOSE(CONTROL!$C$22, $C$13, 100%, $E$13)</f>
        <v>8.6782000000000004</v>
      </c>
      <c r="G480" s="64">
        <f>8.688 * CHOOSE(CONTROL!$C$22, $C$13, 100%, $E$13)</f>
        <v>8.6880000000000006</v>
      </c>
      <c r="H480" s="64">
        <f>14.6509* CHOOSE(CONTROL!$C$22, $C$13, 100%, $E$13)</f>
        <v>14.6509</v>
      </c>
      <c r="I480" s="64">
        <f>14.6607 * CHOOSE(CONTROL!$C$22, $C$13, 100%, $E$13)</f>
        <v>14.6607</v>
      </c>
      <c r="J480" s="64">
        <f>8.6782 * CHOOSE(CONTROL!$C$22, $C$13, 100%, $E$13)</f>
        <v>8.6782000000000004</v>
      </c>
      <c r="K480" s="64">
        <f>8.688 * CHOOSE(CONTROL!$C$22, $C$13, 100%, $E$13)</f>
        <v>8.6880000000000006</v>
      </c>
    </row>
    <row r="481" spans="1:11" ht="15">
      <c r="A481" s="13">
        <v>56128</v>
      </c>
      <c r="B481" s="63">
        <f>7.3377 * CHOOSE(CONTROL!$C$22, $C$13, 100%, $E$13)</f>
        <v>7.3376999999999999</v>
      </c>
      <c r="C481" s="63">
        <f>7.3377 * CHOOSE(CONTROL!$C$22, $C$13, 100%, $E$13)</f>
        <v>7.3376999999999999</v>
      </c>
      <c r="D481" s="63">
        <f>7.3458 * CHOOSE(CONTROL!$C$22, $C$13, 100%, $E$13)</f>
        <v>7.3457999999999997</v>
      </c>
      <c r="E481" s="64">
        <f>8.6611 * CHOOSE(CONTROL!$C$22, $C$13, 100%, $E$13)</f>
        <v>8.6610999999999994</v>
      </c>
      <c r="F481" s="64">
        <f>8.6611 * CHOOSE(CONTROL!$C$22, $C$13, 100%, $E$13)</f>
        <v>8.6610999999999994</v>
      </c>
      <c r="G481" s="64">
        <f>8.671 * CHOOSE(CONTROL!$C$22, $C$13, 100%, $E$13)</f>
        <v>8.6709999999999994</v>
      </c>
      <c r="H481" s="64">
        <f>14.6814* CHOOSE(CONTROL!$C$22, $C$13, 100%, $E$13)</f>
        <v>14.6814</v>
      </c>
      <c r="I481" s="64">
        <f>14.6913 * CHOOSE(CONTROL!$C$22, $C$13, 100%, $E$13)</f>
        <v>14.6913</v>
      </c>
      <c r="J481" s="64">
        <f>8.6611 * CHOOSE(CONTROL!$C$22, $C$13, 100%, $E$13)</f>
        <v>8.6610999999999994</v>
      </c>
      <c r="K481" s="64">
        <f>8.671 * CHOOSE(CONTROL!$C$22, $C$13, 100%, $E$13)</f>
        <v>8.6709999999999994</v>
      </c>
    </row>
    <row r="482" spans="1:11" ht="15">
      <c r="A482" s="13">
        <v>56158</v>
      </c>
      <c r="B482" s="63">
        <f>7.3437 * CHOOSE(CONTROL!$C$22, $C$13, 100%, $E$13)</f>
        <v>7.3437000000000001</v>
      </c>
      <c r="C482" s="63">
        <f>7.3437 * CHOOSE(CONTROL!$C$22, $C$13, 100%, $E$13)</f>
        <v>7.3437000000000001</v>
      </c>
      <c r="D482" s="63">
        <f>7.3437 * CHOOSE(CONTROL!$C$22, $C$13, 100%, $E$13)</f>
        <v>7.3437000000000001</v>
      </c>
      <c r="E482" s="64">
        <f>8.7074 * CHOOSE(CONTROL!$C$22, $C$13, 100%, $E$13)</f>
        <v>8.7073999999999998</v>
      </c>
      <c r="F482" s="64">
        <f>8.7074 * CHOOSE(CONTROL!$C$22, $C$13, 100%, $E$13)</f>
        <v>8.7073999999999998</v>
      </c>
      <c r="G482" s="64">
        <f>8.7075 * CHOOSE(CONTROL!$C$22, $C$13, 100%, $E$13)</f>
        <v>8.7074999999999996</v>
      </c>
      <c r="H482" s="64">
        <f>14.712* CHOOSE(CONTROL!$C$22, $C$13, 100%, $E$13)</f>
        <v>14.712</v>
      </c>
      <c r="I482" s="64">
        <f>14.7121 * CHOOSE(CONTROL!$C$22, $C$13, 100%, $E$13)</f>
        <v>14.7121</v>
      </c>
      <c r="J482" s="64">
        <f>8.7074 * CHOOSE(CONTROL!$C$22, $C$13, 100%, $E$13)</f>
        <v>8.7073999999999998</v>
      </c>
      <c r="K482" s="64">
        <f>8.7075 * CHOOSE(CONTROL!$C$22, $C$13, 100%, $E$13)</f>
        <v>8.7074999999999996</v>
      </c>
    </row>
    <row r="483" spans="1:11" ht="15">
      <c r="A483" s="13">
        <v>56189</v>
      </c>
      <c r="B483" s="63">
        <f>7.3468 * CHOOSE(CONTROL!$C$22, $C$13, 100%, $E$13)</f>
        <v>7.3468</v>
      </c>
      <c r="C483" s="63">
        <f>7.3468 * CHOOSE(CONTROL!$C$22, $C$13, 100%, $E$13)</f>
        <v>7.3468</v>
      </c>
      <c r="D483" s="63">
        <f>7.3468 * CHOOSE(CONTROL!$C$22, $C$13, 100%, $E$13)</f>
        <v>7.3468</v>
      </c>
      <c r="E483" s="64">
        <f>8.7394 * CHOOSE(CONTROL!$C$22, $C$13, 100%, $E$13)</f>
        <v>8.7393999999999998</v>
      </c>
      <c r="F483" s="64">
        <f>8.7394 * CHOOSE(CONTROL!$C$22, $C$13, 100%, $E$13)</f>
        <v>8.7393999999999998</v>
      </c>
      <c r="G483" s="64">
        <f>8.7395 * CHOOSE(CONTROL!$C$22, $C$13, 100%, $E$13)</f>
        <v>8.7394999999999996</v>
      </c>
      <c r="H483" s="64">
        <f>14.7427* CHOOSE(CONTROL!$C$22, $C$13, 100%, $E$13)</f>
        <v>14.742699999999999</v>
      </c>
      <c r="I483" s="64">
        <f>14.7428 * CHOOSE(CONTROL!$C$22, $C$13, 100%, $E$13)</f>
        <v>14.742800000000001</v>
      </c>
      <c r="J483" s="64">
        <f>8.7394 * CHOOSE(CONTROL!$C$22, $C$13, 100%, $E$13)</f>
        <v>8.7393999999999998</v>
      </c>
      <c r="K483" s="64">
        <f>8.7395 * CHOOSE(CONTROL!$C$22, $C$13, 100%, $E$13)</f>
        <v>8.7394999999999996</v>
      </c>
    </row>
    <row r="484" spans="1:11" ht="15">
      <c r="A484" s="13">
        <v>56219</v>
      </c>
      <c r="B484" s="63">
        <f>7.3468 * CHOOSE(CONTROL!$C$22, $C$13, 100%, $E$13)</f>
        <v>7.3468</v>
      </c>
      <c r="C484" s="63">
        <f>7.3468 * CHOOSE(CONTROL!$C$22, $C$13, 100%, $E$13)</f>
        <v>7.3468</v>
      </c>
      <c r="D484" s="63">
        <f>7.3468 * CHOOSE(CONTROL!$C$22, $C$13, 100%, $E$13)</f>
        <v>7.3468</v>
      </c>
      <c r="E484" s="64">
        <f>8.6648 * CHOOSE(CONTROL!$C$22, $C$13, 100%, $E$13)</f>
        <v>8.6647999999999996</v>
      </c>
      <c r="F484" s="64">
        <f>8.6648 * CHOOSE(CONTROL!$C$22, $C$13, 100%, $E$13)</f>
        <v>8.6647999999999996</v>
      </c>
      <c r="G484" s="64">
        <f>8.6648 * CHOOSE(CONTROL!$C$22, $C$13, 100%, $E$13)</f>
        <v>8.6647999999999996</v>
      </c>
      <c r="H484" s="64">
        <f>14.7734* CHOOSE(CONTROL!$C$22, $C$13, 100%, $E$13)</f>
        <v>14.773400000000001</v>
      </c>
      <c r="I484" s="64">
        <f>14.7735 * CHOOSE(CONTROL!$C$22, $C$13, 100%, $E$13)</f>
        <v>14.7735</v>
      </c>
      <c r="J484" s="64">
        <f>8.6648 * CHOOSE(CONTROL!$C$22, $C$13, 100%, $E$13)</f>
        <v>8.6647999999999996</v>
      </c>
      <c r="K484" s="64">
        <f>8.6648 * CHOOSE(CONTROL!$C$22, $C$13, 100%, $E$13)</f>
        <v>8.6647999999999996</v>
      </c>
    </row>
    <row r="485" spans="1:11" ht="15">
      <c r="A485" s="13">
        <v>56250</v>
      </c>
      <c r="B485" s="63">
        <f>7.4101 * CHOOSE(CONTROL!$C$22, $C$13, 100%, $E$13)</f>
        <v>7.4100999999999999</v>
      </c>
      <c r="C485" s="63">
        <f>7.4101 * CHOOSE(CONTROL!$C$22, $C$13, 100%, $E$13)</f>
        <v>7.4100999999999999</v>
      </c>
      <c r="D485" s="63">
        <f>7.4102 * CHOOSE(CONTROL!$C$22, $C$13, 100%, $E$13)</f>
        <v>7.4101999999999997</v>
      </c>
      <c r="E485" s="64">
        <f>8.7891 * CHOOSE(CONTROL!$C$22, $C$13, 100%, $E$13)</f>
        <v>8.7890999999999995</v>
      </c>
      <c r="F485" s="64">
        <f>8.7891 * CHOOSE(CONTROL!$C$22, $C$13, 100%, $E$13)</f>
        <v>8.7890999999999995</v>
      </c>
      <c r="G485" s="64">
        <f>8.7892 * CHOOSE(CONTROL!$C$22, $C$13, 100%, $E$13)</f>
        <v>8.7891999999999992</v>
      </c>
      <c r="H485" s="64">
        <f>14.8042* CHOOSE(CONTROL!$C$22, $C$13, 100%, $E$13)</f>
        <v>14.8042</v>
      </c>
      <c r="I485" s="64">
        <f>14.8042 * CHOOSE(CONTROL!$C$22, $C$13, 100%, $E$13)</f>
        <v>14.8042</v>
      </c>
      <c r="J485" s="64">
        <f>8.7891 * CHOOSE(CONTROL!$C$22, $C$13, 100%, $E$13)</f>
        <v>8.7890999999999995</v>
      </c>
      <c r="K485" s="64">
        <f>8.7892 * CHOOSE(CONTROL!$C$22, $C$13, 100%, $E$13)</f>
        <v>8.7891999999999992</v>
      </c>
    </row>
    <row r="486" spans="1:11" ht="15">
      <c r="A486" s="13">
        <v>56281</v>
      </c>
      <c r="B486" s="63">
        <f>7.4071 * CHOOSE(CONTROL!$C$22, $C$13, 100%, $E$13)</f>
        <v>7.4070999999999998</v>
      </c>
      <c r="C486" s="63">
        <f>7.4071 * CHOOSE(CONTROL!$C$22, $C$13, 100%, $E$13)</f>
        <v>7.4070999999999998</v>
      </c>
      <c r="D486" s="63">
        <f>7.4071 * CHOOSE(CONTROL!$C$22, $C$13, 100%, $E$13)</f>
        <v>7.4070999999999998</v>
      </c>
      <c r="E486" s="64">
        <f>8.642 * CHOOSE(CONTROL!$C$22, $C$13, 100%, $E$13)</f>
        <v>8.6419999999999995</v>
      </c>
      <c r="F486" s="64">
        <f>8.642 * CHOOSE(CONTROL!$C$22, $C$13, 100%, $E$13)</f>
        <v>8.6419999999999995</v>
      </c>
      <c r="G486" s="64">
        <f>8.6421 * CHOOSE(CONTROL!$C$22, $C$13, 100%, $E$13)</f>
        <v>8.6420999999999992</v>
      </c>
      <c r="H486" s="64">
        <f>14.835* CHOOSE(CONTROL!$C$22, $C$13, 100%, $E$13)</f>
        <v>14.835000000000001</v>
      </c>
      <c r="I486" s="64">
        <f>14.8351 * CHOOSE(CONTROL!$C$22, $C$13, 100%, $E$13)</f>
        <v>14.835100000000001</v>
      </c>
      <c r="J486" s="64">
        <f>8.642 * CHOOSE(CONTROL!$C$22, $C$13, 100%, $E$13)</f>
        <v>8.6419999999999995</v>
      </c>
      <c r="K486" s="64">
        <f>8.6421 * CHOOSE(CONTROL!$C$22, $C$13, 100%, $E$13)</f>
        <v>8.6420999999999992</v>
      </c>
    </row>
    <row r="487" spans="1:11" ht="15">
      <c r="A487" s="13">
        <v>56309</v>
      </c>
      <c r="B487" s="63">
        <f>7.4041 * CHOOSE(CONTROL!$C$22, $C$13, 100%, $E$13)</f>
        <v>7.4040999999999997</v>
      </c>
      <c r="C487" s="63">
        <f>7.4041 * CHOOSE(CONTROL!$C$22, $C$13, 100%, $E$13)</f>
        <v>7.4040999999999997</v>
      </c>
      <c r="D487" s="63">
        <f>7.4041 * CHOOSE(CONTROL!$C$22, $C$13, 100%, $E$13)</f>
        <v>7.4040999999999997</v>
      </c>
      <c r="E487" s="64">
        <f>8.7542 * CHOOSE(CONTROL!$C$22, $C$13, 100%, $E$13)</f>
        <v>8.7542000000000009</v>
      </c>
      <c r="F487" s="64">
        <f>8.7542 * CHOOSE(CONTROL!$C$22, $C$13, 100%, $E$13)</f>
        <v>8.7542000000000009</v>
      </c>
      <c r="G487" s="64">
        <f>8.7542 * CHOOSE(CONTROL!$C$22, $C$13, 100%, $E$13)</f>
        <v>8.7542000000000009</v>
      </c>
      <c r="H487" s="64">
        <f>14.8659* CHOOSE(CONTROL!$C$22, $C$13, 100%, $E$13)</f>
        <v>14.8659</v>
      </c>
      <c r="I487" s="64">
        <f>14.866 * CHOOSE(CONTROL!$C$22, $C$13, 100%, $E$13)</f>
        <v>14.866</v>
      </c>
      <c r="J487" s="64">
        <f>8.7542 * CHOOSE(CONTROL!$C$22, $C$13, 100%, $E$13)</f>
        <v>8.7542000000000009</v>
      </c>
      <c r="K487" s="64">
        <f>8.7542 * CHOOSE(CONTROL!$C$22, $C$13, 100%, $E$13)</f>
        <v>8.7542000000000009</v>
      </c>
    </row>
    <row r="488" spans="1:11" ht="15">
      <c r="A488" s="13">
        <v>56340</v>
      </c>
      <c r="B488" s="63">
        <f>7.4046 * CHOOSE(CONTROL!$C$22, $C$13, 100%, $E$13)</f>
        <v>7.4046000000000003</v>
      </c>
      <c r="C488" s="63">
        <f>7.4046 * CHOOSE(CONTROL!$C$22, $C$13, 100%, $E$13)</f>
        <v>7.4046000000000003</v>
      </c>
      <c r="D488" s="63">
        <f>7.4046 * CHOOSE(CONTROL!$C$22, $C$13, 100%, $E$13)</f>
        <v>7.4046000000000003</v>
      </c>
      <c r="E488" s="64">
        <f>8.8727 * CHOOSE(CONTROL!$C$22, $C$13, 100%, $E$13)</f>
        <v>8.8727</v>
      </c>
      <c r="F488" s="64">
        <f>8.8727 * CHOOSE(CONTROL!$C$22, $C$13, 100%, $E$13)</f>
        <v>8.8727</v>
      </c>
      <c r="G488" s="64">
        <f>8.8727 * CHOOSE(CONTROL!$C$22, $C$13, 100%, $E$13)</f>
        <v>8.8727</v>
      </c>
      <c r="H488" s="64">
        <f>14.8969* CHOOSE(CONTROL!$C$22, $C$13, 100%, $E$13)</f>
        <v>14.8969</v>
      </c>
      <c r="I488" s="64">
        <f>14.897 * CHOOSE(CONTROL!$C$22, $C$13, 100%, $E$13)</f>
        <v>14.897</v>
      </c>
      <c r="J488" s="64">
        <f>8.8727 * CHOOSE(CONTROL!$C$22, $C$13, 100%, $E$13)</f>
        <v>8.8727</v>
      </c>
      <c r="K488" s="64">
        <f>8.8727 * CHOOSE(CONTROL!$C$22, $C$13, 100%, $E$13)</f>
        <v>8.8727</v>
      </c>
    </row>
    <row r="489" spans="1:11" ht="15">
      <c r="A489" s="13">
        <v>56370</v>
      </c>
      <c r="B489" s="63">
        <f>7.4046 * CHOOSE(CONTROL!$C$22, $C$13, 100%, $E$13)</f>
        <v>7.4046000000000003</v>
      </c>
      <c r="C489" s="63">
        <f>7.4046 * CHOOSE(CONTROL!$C$22, $C$13, 100%, $E$13)</f>
        <v>7.4046000000000003</v>
      </c>
      <c r="D489" s="63">
        <f>7.4127 * CHOOSE(CONTROL!$C$22, $C$13, 100%, $E$13)</f>
        <v>7.4127000000000001</v>
      </c>
      <c r="E489" s="64">
        <f>8.9187 * CHOOSE(CONTROL!$C$22, $C$13, 100%, $E$13)</f>
        <v>8.9186999999999994</v>
      </c>
      <c r="F489" s="64">
        <f>8.9187 * CHOOSE(CONTROL!$C$22, $C$13, 100%, $E$13)</f>
        <v>8.9186999999999994</v>
      </c>
      <c r="G489" s="64">
        <f>8.9285 * CHOOSE(CONTROL!$C$22, $C$13, 100%, $E$13)</f>
        <v>8.9284999999999997</v>
      </c>
      <c r="H489" s="64">
        <f>14.9279* CHOOSE(CONTROL!$C$22, $C$13, 100%, $E$13)</f>
        <v>14.927899999999999</v>
      </c>
      <c r="I489" s="64">
        <f>14.9378 * CHOOSE(CONTROL!$C$22, $C$13, 100%, $E$13)</f>
        <v>14.937799999999999</v>
      </c>
      <c r="J489" s="64">
        <f>8.9187 * CHOOSE(CONTROL!$C$22, $C$13, 100%, $E$13)</f>
        <v>8.9186999999999994</v>
      </c>
      <c r="K489" s="64">
        <f>8.9285 * CHOOSE(CONTROL!$C$22, $C$13, 100%, $E$13)</f>
        <v>8.9284999999999997</v>
      </c>
    </row>
    <row r="490" spans="1:11" ht="15">
      <c r="A490" s="13">
        <v>56401</v>
      </c>
      <c r="B490" s="63">
        <f>7.4107 * CHOOSE(CONTROL!$C$22, $C$13, 100%, $E$13)</f>
        <v>7.4107000000000003</v>
      </c>
      <c r="C490" s="63">
        <f>7.4107 * CHOOSE(CONTROL!$C$22, $C$13, 100%, $E$13)</f>
        <v>7.4107000000000003</v>
      </c>
      <c r="D490" s="63">
        <f>7.4188 * CHOOSE(CONTROL!$C$22, $C$13, 100%, $E$13)</f>
        <v>7.4188000000000001</v>
      </c>
      <c r="E490" s="64">
        <f>8.8769 * CHOOSE(CONTROL!$C$22, $C$13, 100%, $E$13)</f>
        <v>8.8768999999999991</v>
      </c>
      <c r="F490" s="64">
        <f>8.8769 * CHOOSE(CONTROL!$C$22, $C$13, 100%, $E$13)</f>
        <v>8.8768999999999991</v>
      </c>
      <c r="G490" s="64">
        <f>8.8867 * CHOOSE(CONTROL!$C$22, $C$13, 100%, $E$13)</f>
        <v>8.8866999999999994</v>
      </c>
      <c r="H490" s="64">
        <f>14.959* CHOOSE(CONTROL!$C$22, $C$13, 100%, $E$13)</f>
        <v>14.959</v>
      </c>
      <c r="I490" s="64">
        <f>14.9689 * CHOOSE(CONTROL!$C$22, $C$13, 100%, $E$13)</f>
        <v>14.9689</v>
      </c>
      <c r="J490" s="64">
        <f>8.8769 * CHOOSE(CONTROL!$C$22, $C$13, 100%, $E$13)</f>
        <v>8.8768999999999991</v>
      </c>
      <c r="K490" s="64">
        <f>8.8867 * CHOOSE(CONTROL!$C$22, $C$13, 100%, $E$13)</f>
        <v>8.8866999999999994</v>
      </c>
    </row>
    <row r="491" spans="1:11" ht="15">
      <c r="A491" s="13">
        <v>56431</v>
      </c>
      <c r="B491" s="63">
        <f>7.5277 * CHOOSE(CONTROL!$C$22, $C$13, 100%, $E$13)</f>
        <v>7.5277000000000003</v>
      </c>
      <c r="C491" s="63">
        <f>7.5277 * CHOOSE(CONTROL!$C$22, $C$13, 100%, $E$13)</f>
        <v>7.5277000000000003</v>
      </c>
      <c r="D491" s="63">
        <f>7.5359 * CHOOSE(CONTROL!$C$22, $C$13, 100%, $E$13)</f>
        <v>7.5358999999999998</v>
      </c>
      <c r="E491" s="64">
        <f>9.0233 * CHOOSE(CONTROL!$C$22, $C$13, 100%, $E$13)</f>
        <v>9.0233000000000008</v>
      </c>
      <c r="F491" s="64">
        <f>9.0233 * CHOOSE(CONTROL!$C$22, $C$13, 100%, $E$13)</f>
        <v>9.0233000000000008</v>
      </c>
      <c r="G491" s="64">
        <f>9.0332 * CHOOSE(CONTROL!$C$22, $C$13, 100%, $E$13)</f>
        <v>9.0332000000000008</v>
      </c>
      <c r="H491" s="64">
        <f>14.9902* CHOOSE(CONTROL!$C$22, $C$13, 100%, $E$13)</f>
        <v>14.9902</v>
      </c>
      <c r="I491" s="64">
        <f>15 * CHOOSE(CONTROL!$C$22, $C$13, 100%, $E$13)</f>
        <v>15</v>
      </c>
      <c r="J491" s="64">
        <f>9.0233 * CHOOSE(CONTROL!$C$22, $C$13, 100%, $E$13)</f>
        <v>9.0233000000000008</v>
      </c>
      <c r="K491" s="64">
        <f>9.0332 * CHOOSE(CONTROL!$C$22, $C$13, 100%, $E$13)</f>
        <v>9.0332000000000008</v>
      </c>
    </row>
    <row r="492" spans="1:11" ht="15">
      <c r="A492" s="13">
        <v>56462</v>
      </c>
      <c r="B492" s="63">
        <f>7.5344 * CHOOSE(CONTROL!$C$22, $C$13, 100%, $E$13)</f>
        <v>7.5343999999999998</v>
      </c>
      <c r="C492" s="63">
        <f>7.5344 * CHOOSE(CONTROL!$C$22, $C$13, 100%, $E$13)</f>
        <v>7.5343999999999998</v>
      </c>
      <c r="D492" s="63">
        <f>7.5425 * CHOOSE(CONTROL!$C$22, $C$13, 100%, $E$13)</f>
        <v>7.5425000000000004</v>
      </c>
      <c r="E492" s="64">
        <f>8.8899 * CHOOSE(CONTROL!$C$22, $C$13, 100%, $E$13)</f>
        <v>8.8899000000000008</v>
      </c>
      <c r="F492" s="64">
        <f>8.8899 * CHOOSE(CONTROL!$C$22, $C$13, 100%, $E$13)</f>
        <v>8.8899000000000008</v>
      </c>
      <c r="G492" s="64">
        <f>8.8997 * CHOOSE(CONTROL!$C$22, $C$13, 100%, $E$13)</f>
        <v>8.8996999999999993</v>
      </c>
      <c r="H492" s="64">
        <f>15.0214* CHOOSE(CONTROL!$C$22, $C$13, 100%, $E$13)</f>
        <v>15.0214</v>
      </c>
      <c r="I492" s="64">
        <f>15.0312 * CHOOSE(CONTROL!$C$22, $C$13, 100%, $E$13)</f>
        <v>15.0312</v>
      </c>
      <c r="J492" s="64">
        <f>8.8899 * CHOOSE(CONTROL!$C$22, $C$13, 100%, $E$13)</f>
        <v>8.8899000000000008</v>
      </c>
      <c r="K492" s="64">
        <f>8.8997 * CHOOSE(CONTROL!$C$22, $C$13, 100%, $E$13)</f>
        <v>8.8996999999999993</v>
      </c>
    </row>
    <row r="493" spans="1:11" ht="15">
      <c r="A493" s="13">
        <v>56493</v>
      </c>
      <c r="B493" s="63">
        <f>7.5314 * CHOOSE(CONTROL!$C$22, $C$13, 100%, $E$13)</f>
        <v>7.5313999999999997</v>
      </c>
      <c r="C493" s="63">
        <f>7.5314 * CHOOSE(CONTROL!$C$22, $C$13, 100%, $E$13)</f>
        <v>7.5313999999999997</v>
      </c>
      <c r="D493" s="63">
        <f>7.5395 * CHOOSE(CONTROL!$C$22, $C$13, 100%, $E$13)</f>
        <v>7.5395000000000003</v>
      </c>
      <c r="E493" s="64">
        <f>8.8725 * CHOOSE(CONTROL!$C$22, $C$13, 100%, $E$13)</f>
        <v>8.8725000000000005</v>
      </c>
      <c r="F493" s="64">
        <f>8.8725 * CHOOSE(CONTROL!$C$22, $C$13, 100%, $E$13)</f>
        <v>8.8725000000000005</v>
      </c>
      <c r="G493" s="64">
        <f>8.8823 * CHOOSE(CONTROL!$C$22, $C$13, 100%, $E$13)</f>
        <v>8.8823000000000008</v>
      </c>
      <c r="H493" s="64">
        <f>15.0527* CHOOSE(CONTROL!$C$22, $C$13, 100%, $E$13)</f>
        <v>15.0527</v>
      </c>
      <c r="I493" s="64">
        <f>15.0625 * CHOOSE(CONTROL!$C$22, $C$13, 100%, $E$13)</f>
        <v>15.0625</v>
      </c>
      <c r="J493" s="64">
        <f>8.8725 * CHOOSE(CONTROL!$C$22, $C$13, 100%, $E$13)</f>
        <v>8.8725000000000005</v>
      </c>
      <c r="K493" s="64">
        <f>8.8823 * CHOOSE(CONTROL!$C$22, $C$13, 100%, $E$13)</f>
        <v>8.8823000000000008</v>
      </c>
    </row>
    <row r="494" spans="1:11" ht="15">
      <c r="A494" s="13">
        <v>56523</v>
      </c>
      <c r="B494" s="63">
        <f>7.5381 * CHOOSE(CONTROL!$C$22, $C$13, 100%, $E$13)</f>
        <v>7.5381</v>
      </c>
      <c r="C494" s="63">
        <f>7.5381 * CHOOSE(CONTROL!$C$22, $C$13, 100%, $E$13)</f>
        <v>7.5381</v>
      </c>
      <c r="D494" s="63">
        <f>7.5381 * CHOOSE(CONTROL!$C$22, $C$13, 100%, $E$13)</f>
        <v>7.5381</v>
      </c>
      <c r="E494" s="64">
        <f>8.9204 * CHOOSE(CONTROL!$C$22, $C$13, 100%, $E$13)</f>
        <v>8.9204000000000008</v>
      </c>
      <c r="F494" s="64">
        <f>8.9204 * CHOOSE(CONTROL!$C$22, $C$13, 100%, $E$13)</f>
        <v>8.9204000000000008</v>
      </c>
      <c r="G494" s="64">
        <f>8.9205 * CHOOSE(CONTROL!$C$22, $C$13, 100%, $E$13)</f>
        <v>8.9205000000000005</v>
      </c>
      <c r="H494" s="64">
        <f>15.0841* CHOOSE(CONTROL!$C$22, $C$13, 100%, $E$13)</f>
        <v>15.084099999999999</v>
      </c>
      <c r="I494" s="64">
        <f>15.0842 * CHOOSE(CONTROL!$C$22, $C$13, 100%, $E$13)</f>
        <v>15.084199999999999</v>
      </c>
      <c r="J494" s="64">
        <f>8.9204 * CHOOSE(CONTROL!$C$22, $C$13, 100%, $E$13)</f>
        <v>8.9204000000000008</v>
      </c>
      <c r="K494" s="64">
        <f>8.9205 * CHOOSE(CONTROL!$C$22, $C$13, 100%, $E$13)</f>
        <v>8.9205000000000005</v>
      </c>
    </row>
    <row r="495" spans="1:11" ht="15">
      <c r="A495" s="13">
        <v>56554</v>
      </c>
      <c r="B495" s="63">
        <f>7.5411 * CHOOSE(CONTROL!$C$22, $C$13, 100%, $E$13)</f>
        <v>7.5411000000000001</v>
      </c>
      <c r="C495" s="63">
        <f>7.5411 * CHOOSE(CONTROL!$C$22, $C$13, 100%, $E$13)</f>
        <v>7.5411000000000001</v>
      </c>
      <c r="D495" s="63">
        <f>7.5411 * CHOOSE(CONTROL!$C$22, $C$13, 100%, $E$13)</f>
        <v>7.5411000000000001</v>
      </c>
      <c r="E495" s="64">
        <f>8.9532 * CHOOSE(CONTROL!$C$22, $C$13, 100%, $E$13)</f>
        <v>8.9532000000000007</v>
      </c>
      <c r="F495" s="64">
        <f>8.9532 * CHOOSE(CONTROL!$C$22, $C$13, 100%, $E$13)</f>
        <v>8.9532000000000007</v>
      </c>
      <c r="G495" s="64">
        <f>8.9533 * CHOOSE(CONTROL!$C$22, $C$13, 100%, $E$13)</f>
        <v>8.9533000000000005</v>
      </c>
      <c r="H495" s="64">
        <f>15.1155* CHOOSE(CONTROL!$C$22, $C$13, 100%, $E$13)</f>
        <v>15.115500000000001</v>
      </c>
      <c r="I495" s="64">
        <f>15.1156 * CHOOSE(CONTROL!$C$22, $C$13, 100%, $E$13)</f>
        <v>15.115600000000001</v>
      </c>
      <c r="J495" s="64">
        <f>8.9532 * CHOOSE(CONTROL!$C$22, $C$13, 100%, $E$13)</f>
        <v>8.9532000000000007</v>
      </c>
      <c r="K495" s="64">
        <f>8.9533 * CHOOSE(CONTROL!$C$22, $C$13, 100%, $E$13)</f>
        <v>8.9533000000000005</v>
      </c>
    </row>
    <row r="496" spans="1:11" ht="15">
      <c r="A496" s="13">
        <v>56584</v>
      </c>
      <c r="B496" s="63">
        <f>7.5411 * CHOOSE(CONTROL!$C$22, $C$13, 100%, $E$13)</f>
        <v>7.5411000000000001</v>
      </c>
      <c r="C496" s="63">
        <f>7.5411 * CHOOSE(CONTROL!$C$22, $C$13, 100%, $E$13)</f>
        <v>7.5411000000000001</v>
      </c>
      <c r="D496" s="63">
        <f>7.5411 * CHOOSE(CONTROL!$C$22, $C$13, 100%, $E$13)</f>
        <v>7.5411000000000001</v>
      </c>
      <c r="E496" s="64">
        <f>8.8765 * CHOOSE(CONTROL!$C$22, $C$13, 100%, $E$13)</f>
        <v>8.8765000000000001</v>
      </c>
      <c r="F496" s="64">
        <f>8.8765 * CHOOSE(CONTROL!$C$22, $C$13, 100%, $E$13)</f>
        <v>8.8765000000000001</v>
      </c>
      <c r="G496" s="64">
        <f>8.8766 * CHOOSE(CONTROL!$C$22, $C$13, 100%, $E$13)</f>
        <v>8.8765999999999998</v>
      </c>
      <c r="H496" s="64">
        <f>15.147* CHOOSE(CONTROL!$C$22, $C$13, 100%, $E$13)</f>
        <v>15.147</v>
      </c>
      <c r="I496" s="64">
        <f>15.1471 * CHOOSE(CONTROL!$C$22, $C$13, 100%, $E$13)</f>
        <v>15.1471</v>
      </c>
      <c r="J496" s="64">
        <f>8.8765 * CHOOSE(CONTROL!$C$22, $C$13, 100%, $E$13)</f>
        <v>8.8765000000000001</v>
      </c>
      <c r="K496" s="64">
        <f>8.8766 * CHOOSE(CONTROL!$C$22, $C$13, 100%, $E$13)</f>
        <v>8.8765999999999998</v>
      </c>
    </row>
    <row r="497" spans="1:11" ht="15">
      <c r="A497" s="13">
        <v>56615</v>
      </c>
      <c r="B497" s="63">
        <f>7.606 * CHOOSE(CONTROL!$C$22, $C$13, 100%, $E$13)</f>
        <v>7.6059999999999999</v>
      </c>
      <c r="C497" s="63">
        <f>7.606 * CHOOSE(CONTROL!$C$22, $C$13, 100%, $E$13)</f>
        <v>7.6059999999999999</v>
      </c>
      <c r="D497" s="63">
        <f>7.606 * CHOOSE(CONTROL!$C$22, $C$13, 100%, $E$13)</f>
        <v>7.6059999999999999</v>
      </c>
      <c r="E497" s="64">
        <f>9.004 * CHOOSE(CONTROL!$C$22, $C$13, 100%, $E$13)</f>
        <v>9.0039999999999996</v>
      </c>
      <c r="F497" s="64">
        <f>9.004 * CHOOSE(CONTROL!$C$22, $C$13, 100%, $E$13)</f>
        <v>9.0039999999999996</v>
      </c>
      <c r="G497" s="64">
        <f>9.0041 * CHOOSE(CONTROL!$C$22, $C$13, 100%, $E$13)</f>
        <v>9.0040999999999993</v>
      </c>
      <c r="H497" s="64">
        <f>15.1785* CHOOSE(CONTROL!$C$22, $C$13, 100%, $E$13)</f>
        <v>15.1785</v>
      </c>
      <c r="I497" s="64">
        <f>15.1786 * CHOOSE(CONTROL!$C$22, $C$13, 100%, $E$13)</f>
        <v>15.178599999999999</v>
      </c>
      <c r="J497" s="64">
        <f>9.004 * CHOOSE(CONTROL!$C$22, $C$13, 100%, $E$13)</f>
        <v>9.0039999999999996</v>
      </c>
      <c r="K497" s="64">
        <f>9.0041 * CHOOSE(CONTROL!$C$22, $C$13, 100%, $E$13)</f>
        <v>9.0040999999999993</v>
      </c>
    </row>
    <row r="498" spans="1:11" ht="15">
      <c r="A498" s="13">
        <v>56646</v>
      </c>
      <c r="B498" s="63">
        <f>7.603 * CHOOSE(CONTROL!$C$22, $C$13, 100%, $E$13)</f>
        <v>7.6029999999999998</v>
      </c>
      <c r="C498" s="63">
        <f>7.603 * CHOOSE(CONTROL!$C$22, $C$13, 100%, $E$13)</f>
        <v>7.6029999999999998</v>
      </c>
      <c r="D498" s="63">
        <f>7.603 * CHOOSE(CONTROL!$C$22, $C$13, 100%, $E$13)</f>
        <v>7.6029999999999998</v>
      </c>
      <c r="E498" s="64">
        <f>8.8528 * CHOOSE(CONTROL!$C$22, $C$13, 100%, $E$13)</f>
        <v>8.8528000000000002</v>
      </c>
      <c r="F498" s="64">
        <f>8.8528 * CHOOSE(CONTROL!$C$22, $C$13, 100%, $E$13)</f>
        <v>8.8528000000000002</v>
      </c>
      <c r="G498" s="64">
        <f>8.8529 * CHOOSE(CONTROL!$C$22, $C$13, 100%, $E$13)</f>
        <v>8.8529</v>
      </c>
      <c r="H498" s="64">
        <f>15.2102* CHOOSE(CONTROL!$C$22, $C$13, 100%, $E$13)</f>
        <v>15.2102</v>
      </c>
      <c r="I498" s="64">
        <f>15.2102 * CHOOSE(CONTROL!$C$22, $C$13, 100%, $E$13)</f>
        <v>15.2102</v>
      </c>
      <c r="J498" s="64">
        <f>8.8528 * CHOOSE(CONTROL!$C$22, $C$13, 100%, $E$13)</f>
        <v>8.8528000000000002</v>
      </c>
      <c r="K498" s="64">
        <f>8.8529 * CHOOSE(CONTROL!$C$22, $C$13, 100%, $E$13)</f>
        <v>8.8529</v>
      </c>
    </row>
    <row r="499" spans="1:11" ht="15">
      <c r="A499" s="13">
        <v>56674</v>
      </c>
      <c r="B499" s="63">
        <f>7.6 * CHOOSE(CONTROL!$C$22, $C$13, 100%, $E$13)</f>
        <v>7.6</v>
      </c>
      <c r="C499" s="63">
        <f>7.6 * CHOOSE(CONTROL!$C$22, $C$13, 100%, $E$13)</f>
        <v>7.6</v>
      </c>
      <c r="D499" s="63">
        <f>7.6 * CHOOSE(CONTROL!$C$22, $C$13, 100%, $E$13)</f>
        <v>7.6</v>
      </c>
      <c r="E499" s="64">
        <f>8.9682 * CHOOSE(CONTROL!$C$22, $C$13, 100%, $E$13)</f>
        <v>8.9681999999999995</v>
      </c>
      <c r="F499" s="64">
        <f>8.9682 * CHOOSE(CONTROL!$C$22, $C$13, 100%, $E$13)</f>
        <v>8.9681999999999995</v>
      </c>
      <c r="G499" s="64">
        <f>8.9683 * CHOOSE(CONTROL!$C$22, $C$13, 100%, $E$13)</f>
        <v>8.9682999999999993</v>
      </c>
      <c r="H499" s="64">
        <f>15.2419* CHOOSE(CONTROL!$C$22, $C$13, 100%, $E$13)</f>
        <v>15.241899999999999</v>
      </c>
      <c r="I499" s="64">
        <f>15.2419 * CHOOSE(CONTROL!$C$22, $C$13, 100%, $E$13)</f>
        <v>15.241899999999999</v>
      </c>
      <c r="J499" s="64">
        <f>8.9682 * CHOOSE(CONTROL!$C$22, $C$13, 100%, $E$13)</f>
        <v>8.9681999999999995</v>
      </c>
      <c r="K499" s="64">
        <f>8.9683 * CHOOSE(CONTROL!$C$22, $C$13, 100%, $E$13)</f>
        <v>8.9682999999999993</v>
      </c>
    </row>
    <row r="500" spans="1:11" ht="15">
      <c r="A500" s="13">
        <v>56705</v>
      </c>
      <c r="B500" s="63">
        <f>7.6007 * CHOOSE(CONTROL!$C$22, $C$13, 100%, $E$13)</f>
        <v>7.6006999999999998</v>
      </c>
      <c r="C500" s="63">
        <f>7.6007 * CHOOSE(CONTROL!$C$22, $C$13, 100%, $E$13)</f>
        <v>7.6006999999999998</v>
      </c>
      <c r="D500" s="63">
        <f>7.6007 * CHOOSE(CONTROL!$C$22, $C$13, 100%, $E$13)</f>
        <v>7.6006999999999998</v>
      </c>
      <c r="E500" s="64">
        <f>9.0901 * CHOOSE(CONTROL!$C$22, $C$13, 100%, $E$13)</f>
        <v>9.0900999999999996</v>
      </c>
      <c r="F500" s="64">
        <f>9.0901 * CHOOSE(CONTROL!$C$22, $C$13, 100%, $E$13)</f>
        <v>9.0900999999999996</v>
      </c>
      <c r="G500" s="64">
        <f>9.0902 * CHOOSE(CONTROL!$C$22, $C$13, 100%, $E$13)</f>
        <v>9.0901999999999994</v>
      </c>
      <c r="H500" s="64">
        <f>15.2736* CHOOSE(CONTROL!$C$22, $C$13, 100%, $E$13)</f>
        <v>15.2736</v>
      </c>
      <c r="I500" s="64">
        <f>15.2737 * CHOOSE(CONTROL!$C$22, $C$13, 100%, $E$13)</f>
        <v>15.2737</v>
      </c>
      <c r="J500" s="64">
        <f>9.0901 * CHOOSE(CONTROL!$C$22, $C$13, 100%, $E$13)</f>
        <v>9.0900999999999996</v>
      </c>
      <c r="K500" s="64">
        <f>9.0902 * CHOOSE(CONTROL!$C$22, $C$13, 100%, $E$13)</f>
        <v>9.0901999999999994</v>
      </c>
    </row>
    <row r="501" spans="1:11" ht="15">
      <c r="A501" s="13">
        <v>56735</v>
      </c>
      <c r="B501" s="63">
        <f>7.6007 * CHOOSE(CONTROL!$C$22, $C$13, 100%, $E$13)</f>
        <v>7.6006999999999998</v>
      </c>
      <c r="C501" s="63">
        <f>7.6007 * CHOOSE(CONTROL!$C$22, $C$13, 100%, $E$13)</f>
        <v>7.6006999999999998</v>
      </c>
      <c r="D501" s="63">
        <f>7.6088 * CHOOSE(CONTROL!$C$22, $C$13, 100%, $E$13)</f>
        <v>7.6087999999999996</v>
      </c>
      <c r="E501" s="64">
        <f>9.1375 * CHOOSE(CONTROL!$C$22, $C$13, 100%, $E$13)</f>
        <v>9.1374999999999993</v>
      </c>
      <c r="F501" s="64">
        <f>9.1375 * CHOOSE(CONTROL!$C$22, $C$13, 100%, $E$13)</f>
        <v>9.1374999999999993</v>
      </c>
      <c r="G501" s="64">
        <f>9.1473 * CHOOSE(CONTROL!$C$22, $C$13, 100%, $E$13)</f>
        <v>9.1472999999999995</v>
      </c>
      <c r="H501" s="64">
        <f>15.3054* CHOOSE(CONTROL!$C$22, $C$13, 100%, $E$13)</f>
        <v>15.305400000000001</v>
      </c>
      <c r="I501" s="64">
        <f>15.3153 * CHOOSE(CONTROL!$C$22, $C$13, 100%, $E$13)</f>
        <v>15.315300000000001</v>
      </c>
      <c r="J501" s="64">
        <f>9.1375 * CHOOSE(CONTROL!$C$22, $C$13, 100%, $E$13)</f>
        <v>9.1374999999999993</v>
      </c>
      <c r="K501" s="64">
        <f>9.1473 * CHOOSE(CONTROL!$C$22, $C$13, 100%, $E$13)</f>
        <v>9.1472999999999995</v>
      </c>
    </row>
    <row r="502" spans="1:11" ht="15">
      <c r="A502" s="13">
        <v>56766</v>
      </c>
      <c r="B502" s="63">
        <f>7.6068 * CHOOSE(CONTROL!$C$22, $C$13, 100%, $E$13)</f>
        <v>7.6067999999999998</v>
      </c>
      <c r="C502" s="63">
        <f>7.6068 * CHOOSE(CONTROL!$C$22, $C$13, 100%, $E$13)</f>
        <v>7.6067999999999998</v>
      </c>
      <c r="D502" s="63">
        <f>7.6149 * CHOOSE(CONTROL!$C$22, $C$13, 100%, $E$13)</f>
        <v>7.6148999999999996</v>
      </c>
      <c r="E502" s="64">
        <f>9.0944 * CHOOSE(CONTROL!$C$22, $C$13, 100%, $E$13)</f>
        <v>9.0944000000000003</v>
      </c>
      <c r="F502" s="64">
        <f>9.0944 * CHOOSE(CONTROL!$C$22, $C$13, 100%, $E$13)</f>
        <v>9.0944000000000003</v>
      </c>
      <c r="G502" s="64">
        <f>9.1042 * CHOOSE(CONTROL!$C$22, $C$13, 100%, $E$13)</f>
        <v>9.1042000000000005</v>
      </c>
      <c r="H502" s="64">
        <f>15.3373* CHOOSE(CONTROL!$C$22, $C$13, 100%, $E$13)</f>
        <v>15.337300000000001</v>
      </c>
      <c r="I502" s="64">
        <f>15.3471 * CHOOSE(CONTROL!$C$22, $C$13, 100%, $E$13)</f>
        <v>15.347099999999999</v>
      </c>
      <c r="J502" s="64">
        <f>9.0944 * CHOOSE(CONTROL!$C$22, $C$13, 100%, $E$13)</f>
        <v>9.0944000000000003</v>
      </c>
      <c r="K502" s="64">
        <f>9.1042 * CHOOSE(CONTROL!$C$22, $C$13, 100%, $E$13)</f>
        <v>9.1042000000000005</v>
      </c>
    </row>
    <row r="503" spans="1:11" ht="15">
      <c r="A503" s="13">
        <v>56796</v>
      </c>
      <c r="B503" s="63">
        <f>7.7266 * CHOOSE(CONTROL!$C$22, $C$13, 100%, $E$13)</f>
        <v>7.7266000000000004</v>
      </c>
      <c r="C503" s="63">
        <f>7.7266 * CHOOSE(CONTROL!$C$22, $C$13, 100%, $E$13)</f>
        <v>7.7266000000000004</v>
      </c>
      <c r="D503" s="63">
        <f>7.7347 * CHOOSE(CONTROL!$C$22, $C$13, 100%, $E$13)</f>
        <v>7.7347000000000001</v>
      </c>
      <c r="E503" s="64">
        <f>9.2441 * CHOOSE(CONTROL!$C$22, $C$13, 100%, $E$13)</f>
        <v>9.2440999999999995</v>
      </c>
      <c r="F503" s="64">
        <f>9.2441 * CHOOSE(CONTROL!$C$22, $C$13, 100%, $E$13)</f>
        <v>9.2440999999999995</v>
      </c>
      <c r="G503" s="64">
        <f>9.254 * CHOOSE(CONTROL!$C$22, $C$13, 100%, $E$13)</f>
        <v>9.2539999999999996</v>
      </c>
      <c r="H503" s="64">
        <f>15.3693* CHOOSE(CONTROL!$C$22, $C$13, 100%, $E$13)</f>
        <v>15.369300000000001</v>
      </c>
      <c r="I503" s="64">
        <f>15.3791 * CHOOSE(CONTROL!$C$22, $C$13, 100%, $E$13)</f>
        <v>15.379099999999999</v>
      </c>
      <c r="J503" s="64">
        <f>9.2441 * CHOOSE(CONTROL!$C$22, $C$13, 100%, $E$13)</f>
        <v>9.2440999999999995</v>
      </c>
      <c r="K503" s="64">
        <f>9.254 * CHOOSE(CONTROL!$C$22, $C$13, 100%, $E$13)</f>
        <v>9.2539999999999996</v>
      </c>
    </row>
    <row r="504" spans="1:11" ht="15">
      <c r="A504" s="13">
        <v>56827</v>
      </c>
      <c r="B504" s="63">
        <f>7.7333 * CHOOSE(CONTROL!$C$22, $C$13, 100%, $E$13)</f>
        <v>7.7332999999999998</v>
      </c>
      <c r="C504" s="63">
        <f>7.7333 * CHOOSE(CONTROL!$C$22, $C$13, 100%, $E$13)</f>
        <v>7.7332999999999998</v>
      </c>
      <c r="D504" s="63">
        <f>7.7414 * CHOOSE(CONTROL!$C$22, $C$13, 100%, $E$13)</f>
        <v>7.7413999999999996</v>
      </c>
      <c r="E504" s="64">
        <f>9.1068 * CHOOSE(CONTROL!$C$22, $C$13, 100%, $E$13)</f>
        <v>9.1067999999999998</v>
      </c>
      <c r="F504" s="64">
        <f>9.1068 * CHOOSE(CONTROL!$C$22, $C$13, 100%, $E$13)</f>
        <v>9.1067999999999998</v>
      </c>
      <c r="G504" s="64">
        <f>9.1167 * CHOOSE(CONTROL!$C$22, $C$13, 100%, $E$13)</f>
        <v>9.1166999999999998</v>
      </c>
      <c r="H504" s="64">
        <f>15.4013* CHOOSE(CONTROL!$C$22, $C$13, 100%, $E$13)</f>
        <v>15.401300000000001</v>
      </c>
      <c r="I504" s="64">
        <f>15.4111 * CHOOSE(CONTROL!$C$22, $C$13, 100%, $E$13)</f>
        <v>15.411099999999999</v>
      </c>
      <c r="J504" s="64">
        <f>9.1068 * CHOOSE(CONTROL!$C$22, $C$13, 100%, $E$13)</f>
        <v>9.1067999999999998</v>
      </c>
      <c r="K504" s="64">
        <f>9.1167 * CHOOSE(CONTROL!$C$22, $C$13, 100%, $E$13)</f>
        <v>9.1166999999999998</v>
      </c>
    </row>
    <row r="505" spans="1:11" ht="15">
      <c r="A505" s="13">
        <v>56858</v>
      </c>
      <c r="B505" s="63">
        <f>7.7303 * CHOOSE(CONTROL!$C$22, $C$13, 100%, $E$13)</f>
        <v>7.7302999999999997</v>
      </c>
      <c r="C505" s="63">
        <f>7.7303 * CHOOSE(CONTROL!$C$22, $C$13, 100%, $E$13)</f>
        <v>7.7302999999999997</v>
      </c>
      <c r="D505" s="63">
        <f>7.7384 * CHOOSE(CONTROL!$C$22, $C$13, 100%, $E$13)</f>
        <v>7.7384000000000004</v>
      </c>
      <c r="E505" s="64">
        <f>9.089 * CHOOSE(CONTROL!$C$22, $C$13, 100%, $E$13)</f>
        <v>9.0890000000000004</v>
      </c>
      <c r="F505" s="64">
        <f>9.089 * CHOOSE(CONTROL!$C$22, $C$13, 100%, $E$13)</f>
        <v>9.0890000000000004</v>
      </c>
      <c r="G505" s="64">
        <f>9.0988 * CHOOSE(CONTROL!$C$22, $C$13, 100%, $E$13)</f>
        <v>9.0988000000000007</v>
      </c>
      <c r="H505" s="64">
        <f>15.4334* CHOOSE(CONTROL!$C$22, $C$13, 100%, $E$13)</f>
        <v>15.433400000000001</v>
      </c>
      <c r="I505" s="64">
        <f>15.4432 * CHOOSE(CONTROL!$C$22, $C$13, 100%, $E$13)</f>
        <v>15.443199999999999</v>
      </c>
      <c r="J505" s="64">
        <f>9.089 * CHOOSE(CONTROL!$C$22, $C$13, 100%, $E$13)</f>
        <v>9.0890000000000004</v>
      </c>
      <c r="K505" s="64">
        <f>9.0988 * CHOOSE(CONTROL!$C$22, $C$13, 100%, $E$13)</f>
        <v>9.0988000000000007</v>
      </c>
    </row>
    <row r="506" spans="1:11" ht="15">
      <c r="A506" s="13">
        <v>56888</v>
      </c>
      <c r="B506" s="63">
        <f>7.7376 * CHOOSE(CONTROL!$C$22, $C$13, 100%, $E$13)</f>
        <v>7.7375999999999996</v>
      </c>
      <c r="C506" s="63">
        <f>7.7376 * CHOOSE(CONTROL!$C$22, $C$13, 100%, $E$13)</f>
        <v>7.7375999999999996</v>
      </c>
      <c r="D506" s="63">
        <f>7.7376 * CHOOSE(CONTROL!$C$22, $C$13, 100%, $E$13)</f>
        <v>7.7375999999999996</v>
      </c>
      <c r="E506" s="64">
        <f>9.1386 * CHOOSE(CONTROL!$C$22, $C$13, 100%, $E$13)</f>
        <v>9.1386000000000003</v>
      </c>
      <c r="F506" s="64">
        <f>9.1386 * CHOOSE(CONTROL!$C$22, $C$13, 100%, $E$13)</f>
        <v>9.1386000000000003</v>
      </c>
      <c r="G506" s="64">
        <f>9.1387 * CHOOSE(CONTROL!$C$22, $C$13, 100%, $E$13)</f>
        <v>9.1387</v>
      </c>
      <c r="H506" s="64">
        <f>15.4655* CHOOSE(CONTROL!$C$22, $C$13, 100%, $E$13)</f>
        <v>15.4655</v>
      </c>
      <c r="I506" s="64">
        <f>15.4656 * CHOOSE(CONTROL!$C$22, $C$13, 100%, $E$13)</f>
        <v>15.4656</v>
      </c>
      <c r="J506" s="64">
        <f>9.1386 * CHOOSE(CONTROL!$C$22, $C$13, 100%, $E$13)</f>
        <v>9.1386000000000003</v>
      </c>
      <c r="K506" s="64">
        <f>9.1387 * CHOOSE(CONTROL!$C$22, $C$13, 100%, $E$13)</f>
        <v>9.1387</v>
      </c>
    </row>
    <row r="507" spans="1:11" ht="15">
      <c r="A507" s="13">
        <v>56919</v>
      </c>
      <c r="B507" s="63">
        <f>7.7406 * CHOOSE(CONTROL!$C$22, $C$13, 100%, $E$13)</f>
        <v>7.7405999999999997</v>
      </c>
      <c r="C507" s="63">
        <f>7.7406 * CHOOSE(CONTROL!$C$22, $C$13, 100%, $E$13)</f>
        <v>7.7405999999999997</v>
      </c>
      <c r="D507" s="63">
        <f>7.7406 * CHOOSE(CONTROL!$C$22, $C$13, 100%, $E$13)</f>
        <v>7.7405999999999997</v>
      </c>
      <c r="E507" s="64">
        <f>9.1723 * CHOOSE(CONTROL!$C$22, $C$13, 100%, $E$13)</f>
        <v>9.1722999999999999</v>
      </c>
      <c r="F507" s="64">
        <f>9.1723 * CHOOSE(CONTROL!$C$22, $C$13, 100%, $E$13)</f>
        <v>9.1722999999999999</v>
      </c>
      <c r="G507" s="64">
        <f>9.1724 * CHOOSE(CONTROL!$C$22, $C$13, 100%, $E$13)</f>
        <v>9.1723999999999997</v>
      </c>
      <c r="H507" s="64">
        <f>15.4977* CHOOSE(CONTROL!$C$22, $C$13, 100%, $E$13)</f>
        <v>15.4977</v>
      </c>
      <c r="I507" s="64">
        <f>15.4978 * CHOOSE(CONTROL!$C$22, $C$13, 100%, $E$13)</f>
        <v>15.4978</v>
      </c>
      <c r="J507" s="64">
        <f>9.1723 * CHOOSE(CONTROL!$C$22, $C$13, 100%, $E$13)</f>
        <v>9.1722999999999999</v>
      </c>
      <c r="K507" s="64">
        <f>9.1724 * CHOOSE(CONTROL!$C$22, $C$13, 100%, $E$13)</f>
        <v>9.1723999999999997</v>
      </c>
    </row>
    <row r="508" spans="1:11" ht="15">
      <c r="A508" s="13">
        <v>56949</v>
      </c>
      <c r="B508" s="63">
        <f>7.7406 * CHOOSE(CONTROL!$C$22, $C$13, 100%, $E$13)</f>
        <v>7.7405999999999997</v>
      </c>
      <c r="C508" s="63">
        <f>7.7406 * CHOOSE(CONTROL!$C$22, $C$13, 100%, $E$13)</f>
        <v>7.7405999999999997</v>
      </c>
      <c r="D508" s="63">
        <f>7.7406 * CHOOSE(CONTROL!$C$22, $C$13, 100%, $E$13)</f>
        <v>7.7405999999999997</v>
      </c>
      <c r="E508" s="64">
        <f>9.0934 * CHOOSE(CONTROL!$C$22, $C$13, 100%, $E$13)</f>
        <v>9.0934000000000008</v>
      </c>
      <c r="F508" s="64">
        <f>9.0934 * CHOOSE(CONTROL!$C$22, $C$13, 100%, $E$13)</f>
        <v>9.0934000000000008</v>
      </c>
      <c r="G508" s="64">
        <f>9.0935 * CHOOSE(CONTROL!$C$22, $C$13, 100%, $E$13)</f>
        <v>9.0935000000000006</v>
      </c>
      <c r="H508" s="64">
        <f>15.53* CHOOSE(CONTROL!$C$22, $C$13, 100%, $E$13)</f>
        <v>15.53</v>
      </c>
      <c r="I508" s="64">
        <f>15.5301 * CHOOSE(CONTROL!$C$22, $C$13, 100%, $E$13)</f>
        <v>15.530099999999999</v>
      </c>
      <c r="J508" s="64">
        <f>9.0934 * CHOOSE(CONTROL!$C$22, $C$13, 100%, $E$13)</f>
        <v>9.0934000000000008</v>
      </c>
      <c r="K508" s="64">
        <f>9.0935 * CHOOSE(CONTROL!$C$22, $C$13, 100%, $E$13)</f>
        <v>9.0935000000000006</v>
      </c>
    </row>
    <row r="509" spans="1:11" ht="15">
      <c r="A509" s="13">
        <v>56980</v>
      </c>
      <c r="B509" s="63">
        <f>7.8071 * CHOOSE(CONTROL!$C$22, $C$13, 100%, $E$13)</f>
        <v>7.8071000000000002</v>
      </c>
      <c r="C509" s="63">
        <f>7.8071 * CHOOSE(CONTROL!$C$22, $C$13, 100%, $E$13)</f>
        <v>7.8071000000000002</v>
      </c>
      <c r="D509" s="63">
        <f>7.8072 * CHOOSE(CONTROL!$C$22, $C$13, 100%, $E$13)</f>
        <v>7.8071999999999999</v>
      </c>
      <c r="E509" s="64">
        <f>9.2242 * CHOOSE(CONTROL!$C$22, $C$13, 100%, $E$13)</f>
        <v>9.2241999999999997</v>
      </c>
      <c r="F509" s="64">
        <f>9.2242 * CHOOSE(CONTROL!$C$22, $C$13, 100%, $E$13)</f>
        <v>9.2241999999999997</v>
      </c>
      <c r="G509" s="64">
        <f>9.2243 * CHOOSE(CONTROL!$C$22, $C$13, 100%, $E$13)</f>
        <v>9.2242999999999995</v>
      </c>
      <c r="H509" s="64">
        <f>15.5624* CHOOSE(CONTROL!$C$22, $C$13, 100%, $E$13)</f>
        <v>15.5624</v>
      </c>
      <c r="I509" s="64">
        <f>15.5625 * CHOOSE(CONTROL!$C$22, $C$13, 100%, $E$13)</f>
        <v>15.5625</v>
      </c>
      <c r="J509" s="64">
        <f>9.2242 * CHOOSE(CONTROL!$C$22, $C$13, 100%, $E$13)</f>
        <v>9.2241999999999997</v>
      </c>
      <c r="K509" s="64">
        <f>9.2243 * CHOOSE(CONTROL!$C$22, $C$13, 100%, $E$13)</f>
        <v>9.2242999999999995</v>
      </c>
    </row>
    <row r="510" spans="1:11" ht="15">
      <c r="A510" s="13">
        <v>57011</v>
      </c>
      <c r="B510" s="63">
        <f>7.8041 * CHOOSE(CONTROL!$C$22, $C$13, 100%, $E$13)</f>
        <v>7.8041</v>
      </c>
      <c r="C510" s="63">
        <f>7.8041 * CHOOSE(CONTROL!$C$22, $C$13, 100%, $E$13)</f>
        <v>7.8041</v>
      </c>
      <c r="D510" s="63">
        <f>7.8041 * CHOOSE(CONTROL!$C$22, $C$13, 100%, $E$13)</f>
        <v>7.8041</v>
      </c>
      <c r="E510" s="64">
        <f>9.0688 * CHOOSE(CONTROL!$C$22, $C$13, 100%, $E$13)</f>
        <v>9.0687999999999995</v>
      </c>
      <c r="F510" s="64">
        <f>9.0688 * CHOOSE(CONTROL!$C$22, $C$13, 100%, $E$13)</f>
        <v>9.0687999999999995</v>
      </c>
      <c r="G510" s="64">
        <f>9.0689 * CHOOSE(CONTROL!$C$22, $C$13, 100%, $E$13)</f>
        <v>9.0688999999999993</v>
      </c>
      <c r="H510" s="64">
        <f>15.5948* CHOOSE(CONTROL!$C$22, $C$13, 100%, $E$13)</f>
        <v>15.594799999999999</v>
      </c>
      <c r="I510" s="64">
        <f>15.5949 * CHOOSE(CONTROL!$C$22, $C$13, 100%, $E$13)</f>
        <v>15.594900000000001</v>
      </c>
      <c r="J510" s="64">
        <f>9.0688 * CHOOSE(CONTROL!$C$22, $C$13, 100%, $E$13)</f>
        <v>9.0687999999999995</v>
      </c>
      <c r="K510" s="64">
        <f>9.0689 * CHOOSE(CONTROL!$C$22, $C$13, 100%, $E$13)</f>
        <v>9.0688999999999993</v>
      </c>
    </row>
    <row r="511" spans="1:11" ht="15">
      <c r="A511" s="13">
        <v>57040</v>
      </c>
      <c r="B511" s="63">
        <f>7.8011 * CHOOSE(CONTROL!$C$22, $C$13, 100%, $E$13)</f>
        <v>7.8010999999999999</v>
      </c>
      <c r="C511" s="63">
        <f>7.8011 * CHOOSE(CONTROL!$C$22, $C$13, 100%, $E$13)</f>
        <v>7.8010999999999999</v>
      </c>
      <c r="D511" s="63">
        <f>7.8011 * CHOOSE(CONTROL!$C$22, $C$13, 100%, $E$13)</f>
        <v>7.8010999999999999</v>
      </c>
      <c r="E511" s="64">
        <f>9.1875 * CHOOSE(CONTROL!$C$22, $C$13, 100%, $E$13)</f>
        <v>9.1875</v>
      </c>
      <c r="F511" s="64">
        <f>9.1875 * CHOOSE(CONTROL!$C$22, $C$13, 100%, $E$13)</f>
        <v>9.1875</v>
      </c>
      <c r="G511" s="64">
        <f>9.1876 * CHOOSE(CONTROL!$C$22, $C$13, 100%, $E$13)</f>
        <v>9.1875999999999998</v>
      </c>
      <c r="H511" s="64">
        <f>15.6273* CHOOSE(CONTROL!$C$22, $C$13, 100%, $E$13)</f>
        <v>15.6273</v>
      </c>
      <c r="I511" s="64">
        <f>15.6274 * CHOOSE(CONTROL!$C$22, $C$13, 100%, $E$13)</f>
        <v>15.6274</v>
      </c>
      <c r="J511" s="64">
        <f>9.1875 * CHOOSE(CONTROL!$C$22, $C$13, 100%, $E$13)</f>
        <v>9.1875</v>
      </c>
      <c r="K511" s="64">
        <f>9.1876 * CHOOSE(CONTROL!$C$22, $C$13, 100%, $E$13)</f>
        <v>9.1875999999999998</v>
      </c>
    </row>
    <row r="512" spans="1:11" ht="15">
      <c r="A512" s="13">
        <v>57071</v>
      </c>
      <c r="B512" s="63">
        <f>7.802 * CHOOSE(CONTROL!$C$22, $C$13, 100%, $E$13)</f>
        <v>7.8019999999999996</v>
      </c>
      <c r="C512" s="63">
        <f>7.802 * CHOOSE(CONTROL!$C$22, $C$13, 100%, $E$13)</f>
        <v>7.8019999999999996</v>
      </c>
      <c r="D512" s="63">
        <f>7.802 * CHOOSE(CONTROL!$C$22, $C$13, 100%, $E$13)</f>
        <v>7.8019999999999996</v>
      </c>
      <c r="E512" s="64">
        <f>9.313 * CHOOSE(CONTROL!$C$22, $C$13, 100%, $E$13)</f>
        <v>9.3130000000000006</v>
      </c>
      <c r="F512" s="64">
        <f>9.313 * CHOOSE(CONTROL!$C$22, $C$13, 100%, $E$13)</f>
        <v>9.3130000000000006</v>
      </c>
      <c r="G512" s="64">
        <f>9.3131 * CHOOSE(CONTROL!$C$22, $C$13, 100%, $E$13)</f>
        <v>9.3131000000000004</v>
      </c>
      <c r="H512" s="64">
        <f>15.6599* CHOOSE(CONTROL!$C$22, $C$13, 100%, $E$13)</f>
        <v>15.6599</v>
      </c>
      <c r="I512" s="64">
        <f>15.6599 * CHOOSE(CONTROL!$C$22, $C$13, 100%, $E$13)</f>
        <v>15.6599</v>
      </c>
      <c r="J512" s="64">
        <f>9.313 * CHOOSE(CONTROL!$C$22, $C$13, 100%, $E$13)</f>
        <v>9.3130000000000006</v>
      </c>
      <c r="K512" s="64">
        <f>9.3131 * CHOOSE(CONTROL!$C$22, $C$13, 100%, $E$13)</f>
        <v>9.3131000000000004</v>
      </c>
    </row>
    <row r="513" spans="1:11" ht="15">
      <c r="A513" s="13">
        <v>57101</v>
      </c>
      <c r="B513" s="63">
        <f>7.802 * CHOOSE(CONTROL!$C$22, $C$13, 100%, $E$13)</f>
        <v>7.8019999999999996</v>
      </c>
      <c r="C513" s="63">
        <f>7.802 * CHOOSE(CONTROL!$C$22, $C$13, 100%, $E$13)</f>
        <v>7.8019999999999996</v>
      </c>
      <c r="D513" s="63">
        <f>7.8101 * CHOOSE(CONTROL!$C$22, $C$13, 100%, $E$13)</f>
        <v>7.8101000000000003</v>
      </c>
      <c r="E513" s="64">
        <f>9.3616 * CHOOSE(CONTROL!$C$22, $C$13, 100%, $E$13)</f>
        <v>9.3615999999999993</v>
      </c>
      <c r="F513" s="64">
        <f>9.3616 * CHOOSE(CONTROL!$C$22, $C$13, 100%, $E$13)</f>
        <v>9.3615999999999993</v>
      </c>
      <c r="G513" s="64">
        <f>9.3715 * CHOOSE(CONTROL!$C$22, $C$13, 100%, $E$13)</f>
        <v>9.3714999999999993</v>
      </c>
      <c r="H513" s="64">
        <f>15.6925* CHOOSE(CONTROL!$C$22, $C$13, 100%, $E$13)</f>
        <v>15.692500000000001</v>
      </c>
      <c r="I513" s="64">
        <f>15.7023 * CHOOSE(CONTROL!$C$22, $C$13, 100%, $E$13)</f>
        <v>15.702299999999999</v>
      </c>
      <c r="J513" s="64">
        <f>9.3616 * CHOOSE(CONTROL!$C$22, $C$13, 100%, $E$13)</f>
        <v>9.3615999999999993</v>
      </c>
      <c r="K513" s="64">
        <f>9.3715 * CHOOSE(CONTROL!$C$22, $C$13, 100%, $E$13)</f>
        <v>9.3714999999999993</v>
      </c>
    </row>
    <row r="514" spans="1:11" ht="15">
      <c r="A514" s="13">
        <v>57132</v>
      </c>
      <c r="B514" s="63">
        <f>7.808 * CHOOSE(CONTROL!$C$22, $C$13, 100%, $E$13)</f>
        <v>7.8079999999999998</v>
      </c>
      <c r="C514" s="63">
        <f>7.808 * CHOOSE(CONTROL!$C$22, $C$13, 100%, $E$13)</f>
        <v>7.8079999999999998</v>
      </c>
      <c r="D514" s="63">
        <f>7.8162 * CHOOSE(CONTROL!$C$22, $C$13, 100%, $E$13)</f>
        <v>7.8162000000000003</v>
      </c>
      <c r="E514" s="64">
        <f>9.3172 * CHOOSE(CONTROL!$C$22, $C$13, 100%, $E$13)</f>
        <v>9.3171999999999997</v>
      </c>
      <c r="F514" s="64">
        <f>9.3172 * CHOOSE(CONTROL!$C$22, $C$13, 100%, $E$13)</f>
        <v>9.3171999999999997</v>
      </c>
      <c r="G514" s="64">
        <f>9.3271 * CHOOSE(CONTROL!$C$22, $C$13, 100%, $E$13)</f>
        <v>9.3270999999999997</v>
      </c>
      <c r="H514" s="64">
        <f>15.7252* CHOOSE(CONTROL!$C$22, $C$13, 100%, $E$13)</f>
        <v>15.725199999999999</v>
      </c>
      <c r="I514" s="64">
        <f>15.735 * CHOOSE(CONTROL!$C$22, $C$13, 100%, $E$13)</f>
        <v>15.734999999999999</v>
      </c>
      <c r="J514" s="64">
        <f>9.3172 * CHOOSE(CONTROL!$C$22, $C$13, 100%, $E$13)</f>
        <v>9.3171999999999997</v>
      </c>
      <c r="K514" s="64">
        <f>9.3271 * CHOOSE(CONTROL!$C$22, $C$13, 100%, $E$13)</f>
        <v>9.3270999999999997</v>
      </c>
    </row>
    <row r="515" spans="1:11" ht="15">
      <c r="A515" s="13">
        <v>57162</v>
      </c>
      <c r="B515" s="63">
        <f>7.9308 * CHOOSE(CONTROL!$C$22, $C$13, 100%, $E$13)</f>
        <v>7.9307999999999996</v>
      </c>
      <c r="C515" s="63">
        <f>7.9308 * CHOOSE(CONTROL!$C$22, $C$13, 100%, $E$13)</f>
        <v>7.9307999999999996</v>
      </c>
      <c r="D515" s="63">
        <f>7.9389 * CHOOSE(CONTROL!$C$22, $C$13, 100%, $E$13)</f>
        <v>7.9389000000000003</v>
      </c>
      <c r="E515" s="64">
        <f>9.4704 * CHOOSE(CONTROL!$C$22, $C$13, 100%, $E$13)</f>
        <v>9.4703999999999997</v>
      </c>
      <c r="F515" s="64">
        <f>9.4704 * CHOOSE(CONTROL!$C$22, $C$13, 100%, $E$13)</f>
        <v>9.4703999999999997</v>
      </c>
      <c r="G515" s="64">
        <f>9.4802 * CHOOSE(CONTROL!$C$22, $C$13, 100%, $E$13)</f>
        <v>9.4802</v>
      </c>
      <c r="H515" s="64">
        <f>15.7579* CHOOSE(CONTROL!$C$22, $C$13, 100%, $E$13)</f>
        <v>15.757899999999999</v>
      </c>
      <c r="I515" s="64">
        <f>15.7678 * CHOOSE(CONTROL!$C$22, $C$13, 100%, $E$13)</f>
        <v>15.767799999999999</v>
      </c>
      <c r="J515" s="64">
        <f>9.4704 * CHOOSE(CONTROL!$C$22, $C$13, 100%, $E$13)</f>
        <v>9.4703999999999997</v>
      </c>
      <c r="K515" s="64">
        <f>9.4802 * CHOOSE(CONTROL!$C$22, $C$13, 100%, $E$13)</f>
        <v>9.4802</v>
      </c>
    </row>
    <row r="516" spans="1:11" ht="15">
      <c r="A516" s="13">
        <v>57193</v>
      </c>
      <c r="B516" s="63">
        <f>7.9375 * CHOOSE(CONTROL!$C$22, $C$13, 100%, $E$13)</f>
        <v>7.9375</v>
      </c>
      <c r="C516" s="63">
        <f>7.9375 * CHOOSE(CONTROL!$C$22, $C$13, 100%, $E$13)</f>
        <v>7.9375</v>
      </c>
      <c r="D516" s="63">
        <f>7.9456 * CHOOSE(CONTROL!$C$22, $C$13, 100%, $E$13)</f>
        <v>7.9455999999999998</v>
      </c>
      <c r="E516" s="64">
        <f>9.3291 * CHOOSE(CONTROL!$C$22, $C$13, 100%, $E$13)</f>
        <v>9.3291000000000004</v>
      </c>
      <c r="F516" s="64">
        <f>9.3291 * CHOOSE(CONTROL!$C$22, $C$13, 100%, $E$13)</f>
        <v>9.3291000000000004</v>
      </c>
      <c r="G516" s="64">
        <f>9.3389 * CHOOSE(CONTROL!$C$22, $C$13, 100%, $E$13)</f>
        <v>9.3389000000000006</v>
      </c>
      <c r="H516" s="64">
        <f>15.7908* CHOOSE(CONTROL!$C$22, $C$13, 100%, $E$13)</f>
        <v>15.790800000000001</v>
      </c>
      <c r="I516" s="64">
        <f>15.8006 * CHOOSE(CONTROL!$C$22, $C$13, 100%, $E$13)</f>
        <v>15.800599999999999</v>
      </c>
      <c r="J516" s="64">
        <f>9.3291 * CHOOSE(CONTROL!$C$22, $C$13, 100%, $E$13)</f>
        <v>9.3291000000000004</v>
      </c>
      <c r="K516" s="64">
        <f>9.3389 * CHOOSE(CONTROL!$C$22, $C$13, 100%, $E$13)</f>
        <v>9.3389000000000006</v>
      </c>
    </row>
    <row r="517" spans="1:11" ht="15">
      <c r="A517" s="13">
        <v>57224</v>
      </c>
      <c r="B517" s="63">
        <f>7.9344 * CHOOSE(CONTROL!$C$22, $C$13, 100%, $E$13)</f>
        <v>7.9344000000000001</v>
      </c>
      <c r="C517" s="63">
        <f>7.9344 * CHOOSE(CONTROL!$C$22, $C$13, 100%, $E$13)</f>
        <v>7.9344000000000001</v>
      </c>
      <c r="D517" s="63">
        <f>7.9426 * CHOOSE(CONTROL!$C$22, $C$13, 100%, $E$13)</f>
        <v>7.9425999999999997</v>
      </c>
      <c r="E517" s="64">
        <f>9.3108 * CHOOSE(CONTROL!$C$22, $C$13, 100%, $E$13)</f>
        <v>9.3108000000000004</v>
      </c>
      <c r="F517" s="64">
        <f>9.3108 * CHOOSE(CONTROL!$C$22, $C$13, 100%, $E$13)</f>
        <v>9.3108000000000004</v>
      </c>
      <c r="G517" s="64">
        <f>9.3206 * CHOOSE(CONTROL!$C$22, $C$13, 100%, $E$13)</f>
        <v>9.3206000000000007</v>
      </c>
      <c r="H517" s="64">
        <f>15.8237* CHOOSE(CONTROL!$C$22, $C$13, 100%, $E$13)</f>
        <v>15.823700000000001</v>
      </c>
      <c r="I517" s="64">
        <f>15.8335 * CHOOSE(CONTROL!$C$22, $C$13, 100%, $E$13)</f>
        <v>15.833500000000001</v>
      </c>
      <c r="J517" s="64">
        <f>9.3108 * CHOOSE(CONTROL!$C$22, $C$13, 100%, $E$13)</f>
        <v>9.3108000000000004</v>
      </c>
      <c r="K517" s="64">
        <f>9.3206 * CHOOSE(CONTROL!$C$22, $C$13, 100%, $E$13)</f>
        <v>9.3206000000000007</v>
      </c>
    </row>
    <row r="518" spans="1:11" ht="15">
      <c r="A518" s="13">
        <v>57254</v>
      </c>
      <c r="B518" s="63">
        <f>7.9424 * CHOOSE(CONTROL!$C$22, $C$13, 100%, $E$13)</f>
        <v>7.9424000000000001</v>
      </c>
      <c r="C518" s="63">
        <f>7.9424 * CHOOSE(CONTROL!$C$22, $C$13, 100%, $E$13)</f>
        <v>7.9424000000000001</v>
      </c>
      <c r="D518" s="63">
        <f>7.9424 * CHOOSE(CONTROL!$C$22, $C$13, 100%, $E$13)</f>
        <v>7.9424000000000001</v>
      </c>
      <c r="E518" s="64">
        <f>9.3622 * CHOOSE(CONTROL!$C$22, $C$13, 100%, $E$13)</f>
        <v>9.3621999999999996</v>
      </c>
      <c r="F518" s="64">
        <f>9.3622 * CHOOSE(CONTROL!$C$22, $C$13, 100%, $E$13)</f>
        <v>9.3621999999999996</v>
      </c>
      <c r="G518" s="64">
        <f>9.3623 * CHOOSE(CONTROL!$C$22, $C$13, 100%, $E$13)</f>
        <v>9.3622999999999994</v>
      </c>
      <c r="H518" s="64">
        <f>15.8566* CHOOSE(CONTROL!$C$22, $C$13, 100%, $E$13)</f>
        <v>15.8566</v>
      </c>
      <c r="I518" s="64">
        <f>15.8567 * CHOOSE(CONTROL!$C$22, $C$13, 100%, $E$13)</f>
        <v>15.8567</v>
      </c>
      <c r="J518" s="64">
        <f>9.3622 * CHOOSE(CONTROL!$C$22, $C$13, 100%, $E$13)</f>
        <v>9.3621999999999996</v>
      </c>
      <c r="K518" s="64">
        <f>9.3623 * CHOOSE(CONTROL!$C$22, $C$13, 100%, $E$13)</f>
        <v>9.3622999999999994</v>
      </c>
    </row>
    <row r="519" spans="1:11" ht="15">
      <c r="A519" s="13">
        <v>57285</v>
      </c>
      <c r="B519" s="63">
        <f>7.9454 * CHOOSE(CONTROL!$C$22, $C$13, 100%, $E$13)</f>
        <v>7.9454000000000002</v>
      </c>
      <c r="C519" s="63">
        <f>7.9454 * CHOOSE(CONTROL!$C$22, $C$13, 100%, $E$13)</f>
        <v>7.9454000000000002</v>
      </c>
      <c r="D519" s="63">
        <f>7.9455 * CHOOSE(CONTROL!$C$22, $C$13, 100%, $E$13)</f>
        <v>7.9455</v>
      </c>
      <c r="E519" s="64">
        <f>9.3968 * CHOOSE(CONTROL!$C$22, $C$13, 100%, $E$13)</f>
        <v>9.3968000000000007</v>
      </c>
      <c r="F519" s="64">
        <f>9.3968 * CHOOSE(CONTROL!$C$22, $C$13, 100%, $E$13)</f>
        <v>9.3968000000000007</v>
      </c>
      <c r="G519" s="64">
        <f>9.3968 * CHOOSE(CONTROL!$C$22, $C$13, 100%, $E$13)</f>
        <v>9.3968000000000007</v>
      </c>
      <c r="H519" s="64">
        <f>15.8897* CHOOSE(CONTROL!$C$22, $C$13, 100%, $E$13)</f>
        <v>15.889699999999999</v>
      </c>
      <c r="I519" s="64">
        <f>15.8897 * CHOOSE(CONTROL!$C$22, $C$13, 100%, $E$13)</f>
        <v>15.889699999999999</v>
      </c>
      <c r="J519" s="64">
        <f>9.3968 * CHOOSE(CONTROL!$C$22, $C$13, 100%, $E$13)</f>
        <v>9.3968000000000007</v>
      </c>
      <c r="K519" s="64">
        <f>9.3968 * CHOOSE(CONTROL!$C$22, $C$13, 100%, $E$13)</f>
        <v>9.3968000000000007</v>
      </c>
    </row>
    <row r="520" spans="1:11" ht="15">
      <c r="A520" s="13">
        <v>57315</v>
      </c>
      <c r="B520" s="63">
        <f>7.9454 * CHOOSE(CONTROL!$C$22, $C$13, 100%, $E$13)</f>
        <v>7.9454000000000002</v>
      </c>
      <c r="C520" s="63">
        <f>7.9454 * CHOOSE(CONTROL!$C$22, $C$13, 100%, $E$13)</f>
        <v>7.9454000000000002</v>
      </c>
      <c r="D520" s="63">
        <f>7.9455 * CHOOSE(CONTROL!$C$22, $C$13, 100%, $E$13)</f>
        <v>7.9455</v>
      </c>
      <c r="E520" s="64">
        <f>9.3157 * CHOOSE(CONTROL!$C$22, $C$13, 100%, $E$13)</f>
        <v>9.3156999999999996</v>
      </c>
      <c r="F520" s="64">
        <f>9.3157 * CHOOSE(CONTROL!$C$22, $C$13, 100%, $E$13)</f>
        <v>9.3156999999999996</v>
      </c>
      <c r="G520" s="64">
        <f>9.3158 * CHOOSE(CONTROL!$C$22, $C$13, 100%, $E$13)</f>
        <v>9.3157999999999994</v>
      </c>
      <c r="H520" s="64">
        <f>15.9228* CHOOSE(CONTROL!$C$22, $C$13, 100%, $E$13)</f>
        <v>15.922800000000001</v>
      </c>
      <c r="I520" s="64">
        <f>15.9228 * CHOOSE(CONTROL!$C$22, $C$13, 100%, $E$13)</f>
        <v>15.922800000000001</v>
      </c>
      <c r="J520" s="64">
        <f>9.3157 * CHOOSE(CONTROL!$C$22, $C$13, 100%, $E$13)</f>
        <v>9.3156999999999996</v>
      </c>
      <c r="K520" s="64">
        <f>9.3158 * CHOOSE(CONTROL!$C$22, $C$13, 100%, $E$13)</f>
        <v>9.3157999999999994</v>
      </c>
    </row>
    <row r="521" spans="1:11" ht="15">
      <c r="A521" s="13">
        <v>57346</v>
      </c>
      <c r="B521" s="63">
        <f>8.0136 * CHOOSE(CONTROL!$C$22, $C$13, 100%, $E$13)</f>
        <v>8.0136000000000003</v>
      </c>
      <c r="C521" s="63">
        <f>8.0136 * CHOOSE(CONTROL!$C$22, $C$13, 100%, $E$13)</f>
        <v>8.0136000000000003</v>
      </c>
      <c r="D521" s="63">
        <f>8.0136 * CHOOSE(CONTROL!$C$22, $C$13, 100%, $E$13)</f>
        <v>8.0136000000000003</v>
      </c>
      <c r="E521" s="64">
        <f>9.4498 * CHOOSE(CONTROL!$C$22, $C$13, 100%, $E$13)</f>
        <v>9.4497999999999998</v>
      </c>
      <c r="F521" s="64">
        <f>9.4498 * CHOOSE(CONTROL!$C$22, $C$13, 100%, $E$13)</f>
        <v>9.4497999999999998</v>
      </c>
      <c r="G521" s="64">
        <f>9.4499 * CHOOSE(CONTROL!$C$22, $C$13, 100%, $E$13)</f>
        <v>9.4498999999999995</v>
      </c>
      <c r="H521" s="64">
        <f>15.9559* CHOOSE(CONTROL!$C$22, $C$13, 100%, $E$13)</f>
        <v>15.9559</v>
      </c>
      <c r="I521" s="64">
        <f>15.956 * CHOOSE(CONTROL!$C$22, $C$13, 100%, $E$13)</f>
        <v>15.956</v>
      </c>
      <c r="J521" s="64">
        <f>9.4498 * CHOOSE(CONTROL!$C$22, $C$13, 100%, $E$13)</f>
        <v>9.4497999999999998</v>
      </c>
      <c r="K521" s="64">
        <f>9.4499 * CHOOSE(CONTROL!$C$22, $C$13, 100%, $E$13)</f>
        <v>9.4498999999999995</v>
      </c>
    </row>
    <row r="522" spans="1:11" ht="15">
      <c r="A522" s="13">
        <v>57377</v>
      </c>
      <c r="B522" s="63">
        <f>8.0106 * CHOOSE(CONTROL!$C$22, $C$13, 100%, $E$13)</f>
        <v>8.0106000000000002</v>
      </c>
      <c r="C522" s="63">
        <f>8.0106 * CHOOSE(CONTROL!$C$22, $C$13, 100%, $E$13)</f>
        <v>8.0106000000000002</v>
      </c>
      <c r="D522" s="63">
        <f>8.0106 * CHOOSE(CONTROL!$C$22, $C$13, 100%, $E$13)</f>
        <v>8.0106000000000002</v>
      </c>
      <c r="E522" s="64">
        <f>9.2901 * CHOOSE(CONTROL!$C$22, $C$13, 100%, $E$13)</f>
        <v>9.2901000000000007</v>
      </c>
      <c r="F522" s="64">
        <f>9.2901 * CHOOSE(CONTROL!$C$22, $C$13, 100%, $E$13)</f>
        <v>9.2901000000000007</v>
      </c>
      <c r="G522" s="64">
        <f>9.2902 * CHOOSE(CONTROL!$C$22, $C$13, 100%, $E$13)</f>
        <v>9.2902000000000005</v>
      </c>
      <c r="H522" s="64">
        <f>15.9892* CHOOSE(CONTROL!$C$22, $C$13, 100%, $E$13)</f>
        <v>15.9892</v>
      </c>
      <c r="I522" s="64">
        <f>15.9893 * CHOOSE(CONTROL!$C$22, $C$13, 100%, $E$13)</f>
        <v>15.9893</v>
      </c>
      <c r="J522" s="64">
        <f>9.2901 * CHOOSE(CONTROL!$C$22, $C$13, 100%, $E$13)</f>
        <v>9.2901000000000007</v>
      </c>
      <c r="K522" s="64">
        <f>9.2902 * CHOOSE(CONTROL!$C$22, $C$13, 100%, $E$13)</f>
        <v>9.2902000000000005</v>
      </c>
    </row>
    <row r="523" spans="1:11" ht="15">
      <c r="A523" s="13">
        <v>57405</v>
      </c>
      <c r="B523" s="63">
        <f>8.0075 * CHOOSE(CONTROL!$C$22, $C$13, 100%, $E$13)</f>
        <v>8.0075000000000003</v>
      </c>
      <c r="C523" s="63">
        <f>8.0075 * CHOOSE(CONTROL!$C$22, $C$13, 100%, $E$13)</f>
        <v>8.0075000000000003</v>
      </c>
      <c r="D523" s="63">
        <f>8.0076 * CHOOSE(CONTROL!$C$22, $C$13, 100%, $E$13)</f>
        <v>8.0076000000000001</v>
      </c>
      <c r="E523" s="64">
        <f>9.4122 * CHOOSE(CONTROL!$C$22, $C$13, 100%, $E$13)</f>
        <v>9.4122000000000003</v>
      </c>
      <c r="F523" s="64">
        <f>9.4122 * CHOOSE(CONTROL!$C$22, $C$13, 100%, $E$13)</f>
        <v>9.4122000000000003</v>
      </c>
      <c r="G523" s="64">
        <f>9.4123 * CHOOSE(CONTROL!$C$22, $C$13, 100%, $E$13)</f>
        <v>9.4123000000000001</v>
      </c>
      <c r="H523" s="64">
        <f>16.0225* CHOOSE(CONTROL!$C$22, $C$13, 100%, $E$13)</f>
        <v>16.022500000000001</v>
      </c>
      <c r="I523" s="64">
        <f>16.0226 * CHOOSE(CONTROL!$C$22, $C$13, 100%, $E$13)</f>
        <v>16.022600000000001</v>
      </c>
      <c r="J523" s="64">
        <f>9.4122 * CHOOSE(CONTROL!$C$22, $C$13, 100%, $E$13)</f>
        <v>9.4122000000000003</v>
      </c>
      <c r="K523" s="64">
        <f>9.4123 * CHOOSE(CONTROL!$C$22, $C$13, 100%, $E$13)</f>
        <v>9.4123000000000001</v>
      </c>
    </row>
    <row r="524" spans="1:11" ht="15">
      <c r="A524" s="13">
        <v>57436</v>
      </c>
      <c r="B524" s="63">
        <f>8.0086 * CHOOSE(CONTROL!$C$22, $C$13, 100%, $E$13)</f>
        <v>8.0085999999999995</v>
      </c>
      <c r="C524" s="63">
        <f>8.0086 * CHOOSE(CONTROL!$C$22, $C$13, 100%, $E$13)</f>
        <v>8.0085999999999995</v>
      </c>
      <c r="D524" s="63">
        <f>8.0086 * CHOOSE(CONTROL!$C$22, $C$13, 100%, $E$13)</f>
        <v>8.0085999999999995</v>
      </c>
      <c r="E524" s="64">
        <f>9.5413 * CHOOSE(CONTROL!$C$22, $C$13, 100%, $E$13)</f>
        <v>9.5412999999999997</v>
      </c>
      <c r="F524" s="64">
        <f>9.5413 * CHOOSE(CONTROL!$C$22, $C$13, 100%, $E$13)</f>
        <v>9.5412999999999997</v>
      </c>
      <c r="G524" s="64">
        <f>9.5414 * CHOOSE(CONTROL!$C$22, $C$13, 100%, $E$13)</f>
        <v>9.5413999999999994</v>
      </c>
      <c r="H524" s="64">
        <f>16.0559* CHOOSE(CONTROL!$C$22, $C$13, 100%, $E$13)</f>
        <v>16.055900000000001</v>
      </c>
      <c r="I524" s="64">
        <f>16.0559 * CHOOSE(CONTROL!$C$22, $C$13, 100%, $E$13)</f>
        <v>16.055900000000001</v>
      </c>
      <c r="J524" s="64">
        <f>9.5413 * CHOOSE(CONTROL!$C$22, $C$13, 100%, $E$13)</f>
        <v>9.5412999999999997</v>
      </c>
      <c r="K524" s="64">
        <f>9.5414 * CHOOSE(CONTROL!$C$22, $C$13, 100%, $E$13)</f>
        <v>9.5413999999999994</v>
      </c>
    </row>
    <row r="525" spans="1:11" ht="15">
      <c r="A525" s="13">
        <v>57466</v>
      </c>
      <c r="B525" s="63">
        <f>8.0086 * CHOOSE(CONTROL!$C$22, $C$13, 100%, $E$13)</f>
        <v>8.0085999999999995</v>
      </c>
      <c r="C525" s="63">
        <f>8.0086 * CHOOSE(CONTROL!$C$22, $C$13, 100%, $E$13)</f>
        <v>8.0085999999999995</v>
      </c>
      <c r="D525" s="63">
        <f>8.0167 * CHOOSE(CONTROL!$C$22, $C$13, 100%, $E$13)</f>
        <v>8.0167000000000002</v>
      </c>
      <c r="E525" s="64">
        <f>9.5913 * CHOOSE(CONTROL!$C$22, $C$13, 100%, $E$13)</f>
        <v>9.5913000000000004</v>
      </c>
      <c r="F525" s="64">
        <f>9.5913 * CHOOSE(CONTROL!$C$22, $C$13, 100%, $E$13)</f>
        <v>9.5913000000000004</v>
      </c>
      <c r="G525" s="64">
        <f>9.6012 * CHOOSE(CONTROL!$C$22, $C$13, 100%, $E$13)</f>
        <v>9.6012000000000004</v>
      </c>
      <c r="H525" s="64">
        <f>16.0893* CHOOSE(CONTROL!$C$22, $C$13, 100%, $E$13)</f>
        <v>16.089300000000001</v>
      </c>
      <c r="I525" s="64">
        <f>16.0991 * CHOOSE(CONTROL!$C$22, $C$13, 100%, $E$13)</f>
        <v>16.0991</v>
      </c>
      <c r="J525" s="64">
        <f>9.5913 * CHOOSE(CONTROL!$C$22, $C$13, 100%, $E$13)</f>
        <v>9.5913000000000004</v>
      </c>
      <c r="K525" s="64">
        <f>9.6012 * CHOOSE(CONTROL!$C$22, $C$13, 100%, $E$13)</f>
        <v>9.6012000000000004</v>
      </c>
    </row>
    <row r="526" spans="1:11" ht="15">
      <c r="A526" s="13">
        <v>57497</v>
      </c>
      <c r="B526" s="63">
        <f>8.0147 * CHOOSE(CONTROL!$C$22, $C$13, 100%, $E$13)</f>
        <v>8.0146999999999995</v>
      </c>
      <c r="C526" s="63">
        <f>8.0147 * CHOOSE(CONTROL!$C$22, $C$13, 100%, $E$13)</f>
        <v>8.0146999999999995</v>
      </c>
      <c r="D526" s="63">
        <f>8.0228 * CHOOSE(CONTROL!$C$22, $C$13, 100%, $E$13)</f>
        <v>8.0228000000000002</v>
      </c>
      <c r="E526" s="64">
        <f>9.5456 * CHOOSE(CONTROL!$C$22, $C$13, 100%, $E$13)</f>
        <v>9.5456000000000003</v>
      </c>
      <c r="F526" s="64">
        <f>9.5456 * CHOOSE(CONTROL!$C$22, $C$13, 100%, $E$13)</f>
        <v>9.5456000000000003</v>
      </c>
      <c r="G526" s="64">
        <f>9.5554 * CHOOSE(CONTROL!$C$22, $C$13, 100%, $E$13)</f>
        <v>9.5554000000000006</v>
      </c>
      <c r="H526" s="64">
        <f>16.1228* CHOOSE(CONTROL!$C$22, $C$13, 100%, $E$13)</f>
        <v>16.122800000000002</v>
      </c>
      <c r="I526" s="64">
        <f>16.1327 * CHOOSE(CONTROL!$C$22, $C$13, 100%, $E$13)</f>
        <v>16.1327</v>
      </c>
      <c r="J526" s="64">
        <f>9.5456 * CHOOSE(CONTROL!$C$22, $C$13, 100%, $E$13)</f>
        <v>9.5456000000000003</v>
      </c>
      <c r="K526" s="64">
        <f>9.5554 * CHOOSE(CONTROL!$C$22, $C$13, 100%, $E$13)</f>
        <v>9.5554000000000006</v>
      </c>
    </row>
    <row r="527" spans="1:11" ht="15">
      <c r="A527" s="13">
        <v>57527</v>
      </c>
      <c r="B527" s="63">
        <f>8.1404 * CHOOSE(CONTROL!$C$22, $C$13, 100%, $E$13)</f>
        <v>8.1403999999999996</v>
      </c>
      <c r="C527" s="63">
        <f>8.1404 * CHOOSE(CONTROL!$C$22, $C$13, 100%, $E$13)</f>
        <v>8.1403999999999996</v>
      </c>
      <c r="D527" s="63">
        <f>8.1485 * CHOOSE(CONTROL!$C$22, $C$13, 100%, $E$13)</f>
        <v>8.1485000000000003</v>
      </c>
      <c r="E527" s="64">
        <f>9.7022 * CHOOSE(CONTROL!$C$22, $C$13, 100%, $E$13)</f>
        <v>9.7021999999999995</v>
      </c>
      <c r="F527" s="64">
        <f>9.7022 * CHOOSE(CONTROL!$C$22, $C$13, 100%, $E$13)</f>
        <v>9.7021999999999995</v>
      </c>
      <c r="G527" s="64">
        <f>9.712 * CHOOSE(CONTROL!$C$22, $C$13, 100%, $E$13)</f>
        <v>9.7119999999999997</v>
      </c>
      <c r="H527" s="64">
        <f>16.1564* CHOOSE(CONTROL!$C$22, $C$13, 100%, $E$13)</f>
        <v>16.156400000000001</v>
      </c>
      <c r="I527" s="64">
        <f>16.1663 * CHOOSE(CONTROL!$C$22, $C$13, 100%, $E$13)</f>
        <v>16.1663</v>
      </c>
      <c r="J527" s="64">
        <f>9.7022 * CHOOSE(CONTROL!$C$22, $C$13, 100%, $E$13)</f>
        <v>9.7021999999999995</v>
      </c>
      <c r="K527" s="64">
        <f>9.712 * CHOOSE(CONTROL!$C$22, $C$13, 100%, $E$13)</f>
        <v>9.7119999999999997</v>
      </c>
    </row>
    <row r="528" spans="1:11" ht="15">
      <c r="A528" s="13">
        <v>57558</v>
      </c>
      <c r="B528" s="63">
        <f>8.1471 * CHOOSE(CONTROL!$C$22, $C$13, 100%, $E$13)</f>
        <v>8.1471</v>
      </c>
      <c r="C528" s="63">
        <f>8.1471 * CHOOSE(CONTROL!$C$22, $C$13, 100%, $E$13)</f>
        <v>8.1471</v>
      </c>
      <c r="D528" s="63">
        <f>8.1552 * CHOOSE(CONTROL!$C$22, $C$13, 100%, $E$13)</f>
        <v>8.1552000000000007</v>
      </c>
      <c r="E528" s="64">
        <f>9.5568 * CHOOSE(CONTROL!$C$22, $C$13, 100%, $E$13)</f>
        <v>9.5568000000000008</v>
      </c>
      <c r="F528" s="64">
        <f>9.5568 * CHOOSE(CONTROL!$C$22, $C$13, 100%, $E$13)</f>
        <v>9.5568000000000008</v>
      </c>
      <c r="G528" s="64">
        <f>9.5666 * CHOOSE(CONTROL!$C$22, $C$13, 100%, $E$13)</f>
        <v>9.5665999999999993</v>
      </c>
      <c r="H528" s="64">
        <f>16.1901* CHOOSE(CONTROL!$C$22, $C$13, 100%, $E$13)</f>
        <v>16.190100000000001</v>
      </c>
      <c r="I528" s="64">
        <f>16.1999 * CHOOSE(CONTROL!$C$22, $C$13, 100%, $E$13)</f>
        <v>16.1999</v>
      </c>
      <c r="J528" s="64">
        <f>9.5568 * CHOOSE(CONTROL!$C$22, $C$13, 100%, $E$13)</f>
        <v>9.5568000000000008</v>
      </c>
      <c r="K528" s="64">
        <f>9.5666 * CHOOSE(CONTROL!$C$22, $C$13, 100%, $E$13)</f>
        <v>9.5665999999999993</v>
      </c>
    </row>
    <row r="529" spans="1:11" ht="15">
      <c r="A529" s="13">
        <v>57589</v>
      </c>
      <c r="B529" s="63">
        <f>8.1441 * CHOOSE(CONTROL!$C$22, $C$13, 100%, $E$13)</f>
        <v>8.1440999999999999</v>
      </c>
      <c r="C529" s="63">
        <f>8.1441 * CHOOSE(CONTROL!$C$22, $C$13, 100%, $E$13)</f>
        <v>8.1440999999999999</v>
      </c>
      <c r="D529" s="63">
        <f>8.1522 * CHOOSE(CONTROL!$C$22, $C$13, 100%, $E$13)</f>
        <v>8.1522000000000006</v>
      </c>
      <c r="E529" s="64">
        <f>9.538 * CHOOSE(CONTROL!$C$22, $C$13, 100%, $E$13)</f>
        <v>9.5380000000000003</v>
      </c>
      <c r="F529" s="64">
        <f>9.538 * CHOOSE(CONTROL!$C$22, $C$13, 100%, $E$13)</f>
        <v>9.5380000000000003</v>
      </c>
      <c r="G529" s="64">
        <f>9.5479 * CHOOSE(CONTROL!$C$22, $C$13, 100%, $E$13)</f>
        <v>9.5479000000000003</v>
      </c>
      <c r="H529" s="64">
        <f>16.2238* CHOOSE(CONTROL!$C$22, $C$13, 100%, $E$13)</f>
        <v>16.223800000000001</v>
      </c>
      <c r="I529" s="64">
        <f>16.2336 * CHOOSE(CONTROL!$C$22, $C$13, 100%, $E$13)</f>
        <v>16.233599999999999</v>
      </c>
      <c r="J529" s="64">
        <f>9.538 * CHOOSE(CONTROL!$C$22, $C$13, 100%, $E$13)</f>
        <v>9.5380000000000003</v>
      </c>
      <c r="K529" s="64">
        <f>9.5479 * CHOOSE(CONTROL!$C$22, $C$13, 100%, $E$13)</f>
        <v>9.5479000000000003</v>
      </c>
    </row>
    <row r="530" spans="1:11" ht="15">
      <c r="A530" s="13">
        <v>57619</v>
      </c>
      <c r="B530" s="63">
        <f>8.1527 * CHOOSE(CONTROL!$C$22, $C$13, 100%, $E$13)</f>
        <v>8.1526999999999994</v>
      </c>
      <c r="C530" s="63">
        <f>8.1527 * CHOOSE(CONTROL!$C$22, $C$13, 100%, $E$13)</f>
        <v>8.1526999999999994</v>
      </c>
      <c r="D530" s="63">
        <f>8.1527 * CHOOSE(CONTROL!$C$22, $C$13, 100%, $E$13)</f>
        <v>8.1526999999999994</v>
      </c>
      <c r="E530" s="64">
        <f>9.5913 * CHOOSE(CONTROL!$C$22, $C$13, 100%, $E$13)</f>
        <v>9.5913000000000004</v>
      </c>
      <c r="F530" s="64">
        <f>9.5913 * CHOOSE(CONTROL!$C$22, $C$13, 100%, $E$13)</f>
        <v>9.5913000000000004</v>
      </c>
      <c r="G530" s="64">
        <f>9.5914 * CHOOSE(CONTROL!$C$22, $C$13, 100%, $E$13)</f>
        <v>9.5914000000000001</v>
      </c>
      <c r="H530" s="64">
        <f>16.2576* CHOOSE(CONTROL!$C$22, $C$13, 100%, $E$13)</f>
        <v>16.2576</v>
      </c>
      <c r="I530" s="64">
        <f>16.2577 * CHOOSE(CONTROL!$C$22, $C$13, 100%, $E$13)</f>
        <v>16.2577</v>
      </c>
      <c r="J530" s="64">
        <f>9.5913 * CHOOSE(CONTROL!$C$22, $C$13, 100%, $E$13)</f>
        <v>9.5913000000000004</v>
      </c>
      <c r="K530" s="64">
        <f>9.5914 * CHOOSE(CONTROL!$C$22, $C$13, 100%, $E$13)</f>
        <v>9.5914000000000001</v>
      </c>
    </row>
    <row r="531" spans="1:11" ht="15">
      <c r="A531" s="13">
        <v>57650</v>
      </c>
      <c r="B531" s="63">
        <f>8.1558 * CHOOSE(CONTROL!$C$22, $C$13, 100%, $E$13)</f>
        <v>8.1557999999999993</v>
      </c>
      <c r="C531" s="63">
        <f>8.1558 * CHOOSE(CONTROL!$C$22, $C$13, 100%, $E$13)</f>
        <v>8.1557999999999993</v>
      </c>
      <c r="D531" s="63">
        <f>8.1558 * CHOOSE(CONTROL!$C$22, $C$13, 100%, $E$13)</f>
        <v>8.1557999999999993</v>
      </c>
      <c r="E531" s="64">
        <f>9.6267 * CHOOSE(CONTROL!$C$22, $C$13, 100%, $E$13)</f>
        <v>9.6266999999999996</v>
      </c>
      <c r="F531" s="64">
        <f>9.6267 * CHOOSE(CONTROL!$C$22, $C$13, 100%, $E$13)</f>
        <v>9.6266999999999996</v>
      </c>
      <c r="G531" s="64">
        <f>9.6268 * CHOOSE(CONTROL!$C$22, $C$13, 100%, $E$13)</f>
        <v>9.6267999999999994</v>
      </c>
      <c r="H531" s="64">
        <f>16.2915* CHOOSE(CONTROL!$C$22, $C$13, 100%, $E$13)</f>
        <v>16.291499999999999</v>
      </c>
      <c r="I531" s="64">
        <f>16.2916 * CHOOSE(CONTROL!$C$22, $C$13, 100%, $E$13)</f>
        <v>16.291599999999999</v>
      </c>
      <c r="J531" s="64">
        <f>9.6267 * CHOOSE(CONTROL!$C$22, $C$13, 100%, $E$13)</f>
        <v>9.6266999999999996</v>
      </c>
      <c r="K531" s="64">
        <f>9.6268 * CHOOSE(CONTROL!$C$22, $C$13, 100%, $E$13)</f>
        <v>9.6267999999999994</v>
      </c>
    </row>
    <row r="532" spans="1:11" ht="15">
      <c r="A532" s="13">
        <v>57680</v>
      </c>
      <c r="B532" s="63">
        <f>8.1558 * CHOOSE(CONTROL!$C$22, $C$13, 100%, $E$13)</f>
        <v>8.1557999999999993</v>
      </c>
      <c r="C532" s="63">
        <f>8.1558 * CHOOSE(CONTROL!$C$22, $C$13, 100%, $E$13)</f>
        <v>8.1557999999999993</v>
      </c>
      <c r="D532" s="63">
        <f>8.1558 * CHOOSE(CONTROL!$C$22, $C$13, 100%, $E$13)</f>
        <v>8.1557999999999993</v>
      </c>
      <c r="E532" s="64">
        <f>9.5434 * CHOOSE(CONTROL!$C$22, $C$13, 100%, $E$13)</f>
        <v>9.5434000000000001</v>
      </c>
      <c r="F532" s="64">
        <f>9.5434 * CHOOSE(CONTROL!$C$22, $C$13, 100%, $E$13)</f>
        <v>9.5434000000000001</v>
      </c>
      <c r="G532" s="64">
        <f>9.5435 * CHOOSE(CONTROL!$C$22, $C$13, 100%, $E$13)</f>
        <v>9.5434999999999999</v>
      </c>
      <c r="H532" s="64">
        <f>16.3254* CHOOSE(CONTROL!$C$22, $C$13, 100%, $E$13)</f>
        <v>16.325399999999998</v>
      </c>
      <c r="I532" s="64">
        <f>16.3255 * CHOOSE(CONTROL!$C$22, $C$13, 100%, $E$13)</f>
        <v>16.325500000000002</v>
      </c>
      <c r="J532" s="64">
        <f>9.5434 * CHOOSE(CONTROL!$C$22, $C$13, 100%, $E$13)</f>
        <v>9.5434000000000001</v>
      </c>
      <c r="K532" s="64">
        <f>9.5435 * CHOOSE(CONTROL!$C$22, $C$13, 100%, $E$13)</f>
        <v>9.5434999999999999</v>
      </c>
    </row>
    <row r="533" spans="1:11" ht="15">
      <c r="A533" s="13">
        <v>57711</v>
      </c>
      <c r="B533" s="63">
        <f>8.2256 * CHOOSE(CONTROL!$C$22, $C$13, 100%, $E$13)</f>
        <v>8.2256</v>
      </c>
      <c r="C533" s="63">
        <f>8.2256 * CHOOSE(CONTROL!$C$22, $C$13, 100%, $E$13)</f>
        <v>8.2256</v>
      </c>
      <c r="D533" s="63">
        <f>8.2256 * CHOOSE(CONTROL!$C$22, $C$13, 100%, $E$13)</f>
        <v>8.2256</v>
      </c>
      <c r="E533" s="64">
        <f>9.6809 * CHOOSE(CONTROL!$C$22, $C$13, 100%, $E$13)</f>
        <v>9.6808999999999994</v>
      </c>
      <c r="F533" s="64">
        <f>9.6809 * CHOOSE(CONTROL!$C$22, $C$13, 100%, $E$13)</f>
        <v>9.6808999999999994</v>
      </c>
      <c r="G533" s="64">
        <f>9.681 * CHOOSE(CONTROL!$C$22, $C$13, 100%, $E$13)</f>
        <v>9.6809999999999992</v>
      </c>
      <c r="H533" s="64">
        <f>16.3594* CHOOSE(CONTROL!$C$22, $C$13, 100%, $E$13)</f>
        <v>16.359400000000001</v>
      </c>
      <c r="I533" s="64">
        <f>16.3595 * CHOOSE(CONTROL!$C$22, $C$13, 100%, $E$13)</f>
        <v>16.359500000000001</v>
      </c>
      <c r="J533" s="64">
        <f>9.6809 * CHOOSE(CONTROL!$C$22, $C$13, 100%, $E$13)</f>
        <v>9.6808999999999994</v>
      </c>
      <c r="K533" s="64">
        <f>9.681 * CHOOSE(CONTROL!$C$22, $C$13, 100%, $E$13)</f>
        <v>9.6809999999999992</v>
      </c>
    </row>
    <row r="534" spans="1:11" ht="15">
      <c r="A534" s="13">
        <v>57742</v>
      </c>
      <c r="B534" s="63">
        <f>8.2226 * CHOOSE(CONTROL!$C$22, $C$13, 100%, $E$13)</f>
        <v>8.2225999999999999</v>
      </c>
      <c r="C534" s="63">
        <f>8.2226 * CHOOSE(CONTROL!$C$22, $C$13, 100%, $E$13)</f>
        <v>8.2225999999999999</v>
      </c>
      <c r="D534" s="63">
        <f>8.2226 * CHOOSE(CONTROL!$C$22, $C$13, 100%, $E$13)</f>
        <v>8.2225999999999999</v>
      </c>
      <c r="E534" s="64">
        <f>9.5169 * CHOOSE(CONTROL!$C$22, $C$13, 100%, $E$13)</f>
        <v>9.5168999999999997</v>
      </c>
      <c r="F534" s="64">
        <f>9.5169 * CHOOSE(CONTROL!$C$22, $C$13, 100%, $E$13)</f>
        <v>9.5168999999999997</v>
      </c>
      <c r="G534" s="64">
        <f>9.517 * CHOOSE(CONTROL!$C$22, $C$13, 100%, $E$13)</f>
        <v>9.5169999999999995</v>
      </c>
      <c r="H534" s="64">
        <f>16.3935* CHOOSE(CONTROL!$C$22, $C$13, 100%, $E$13)</f>
        <v>16.3935</v>
      </c>
      <c r="I534" s="64">
        <f>16.3936 * CHOOSE(CONTROL!$C$22, $C$13, 100%, $E$13)</f>
        <v>16.393599999999999</v>
      </c>
      <c r="J534" s="64">
        <f>9.5169 * CHOOSE(CONTROL!$C$22, $C$13, 100%, $E$13)</f>
        <v>9.5168999999999997</v>
      </c>
      <c r="K534" s="64">
        <f>9.517 * CHOOSE(CONTROL!$C$22, $C$13, 100%, $E$13)</f>
        <v>9.5169999999999995</v>
      </c>
    </row>
    <row r="535" spans="1:11" ht="15">
      <c r="A535" s="13">
        <v>57770</v>
      </c>
      <c r="B535" s="63">
        <f>8.2195 * CHOOSE(CONTROL!$C$22, $C$13, 100%, $E$13)</f>
        <v>8.2195</v>
      </c>
      <c r="C535" s="63">
        <f>8.2195 * CHOOSE(CONTROL!$C$22, $C$13, 100%, $E$13)</f>
        <v>8.2195</v>
      </c>
      <c r="D535" s="63">
        <f>8.2195 * CHOOSE(CONTROL!$C$22, $C$13, 100%, $E$13)</f>
        <v>8.2195</v>
      </c>
      <c r="E535" s="64">
        <f>9.6424 * CHOOSE(CONTROL!$C$22, $C$13, 100%, $E$13)</f>
        <v>9.6424000000000003</v>
      </c>
      <c r="F535" s="64">
        <f>9.6424 * CHOOSE(CONTROL!$C$22, $C$13, 100%, $E$13)</f>
        <v>9.6424000000000003</v>
      </c>
      <c r="G535" s="64">
        <f>9.6425 * CHOOSE(CONTROL!$C$22, $C$13, 100%, $E$13)</f>
        <v>9.6425000000000001</v>
      </c>
      <c r="H535" s="64">
        <f>16.4277* CHOOSE(CONTROL!$C$22, $C$13, 100%, $E$13)</f>
        <v>16.427700000000002</v>
      </c>
      <c r="I535" s="64">
        <f>16.4277 * CHOOSE(CONTROL!$C$22, $C$13, 100%, $E$13)</f>
        <v>16.427700000000002</v>
      </c>
      <c r="J535" s="64">
        <f>9.6424 * CHOOSE(CONTROL!$C$22, $C$13, 100%, $E$13)</f>
        <v>9.6424000000000003</v>
      </c>
      <c r="K535" s="64">
        <f>9.6425 * CHOOSE(CONTROL!$C$22, $C$13, 100%, $E$13)</f>
        <v>9.6425000000000001</v>
      </c>
    </row>
    <row r="536" spans="1:11" ht="15">
      <c r="A536" s="13">
        <v>57801</v>
      </c>
      <c r="B536" s="63">
        <f>8.2208 * CHOOSE(CONTROL!$C$22, $C$13, 100%, $E$13)</f>
        <v>8.2208000000000006</v>
      </c>
      <c r="C536" s="63">
        <f>8.2208 * CHOOSE(CONTROL!$C$22, $C$13, 100%, $E$13)</f>
        <v>8.2208000000000006</v>
      </c>
      <c r="D536" s="63">
        <f>8.2208 * CHOOSE(CONTROL!$C$22, $C$13, 100%, $E$13)</f>
        <v>8.2208000000000006</v>
      </c>
      <c r="E536" s="64">
        <f>9.7753 * CHOOSE(CONTROL!$C$22, $C$13, 100%, $E$13)</f>
        <v>9.7752999999999997</v>
      </c>
      <c r="F536" s="64">
        <f>9.7753 * CHOOSE(CONTROL!$C$22, $C$13, 100%, $E$13)</f>
        <v>9.7752999999999997</v>
      </c>
      <c r="G536" s="64">
        <f>9.7754 * CHOOSE(CONTROL!$C$22, $C$13, 100%, $E$13)</f>
        <v>9.7753999999999994</v>
      </c>
      <c r="H536" s="64">
        <f>16.4619* CHOOSE(CONTROL!$C$22, $C$13, 100%, $E$13)</f>
        <v>16.4619</v>
      </c>
      <c r="I536" s="64">
        <f>16.462 * CHOOSE(CONTROL!$C$22, $C$13, 100%, $E$13)</f>
        <v>16.462</v>
      </c>
      <c r="J536" s="64">
        <f>9.7753 * CHOOSE(CONTROL!$C$22, $C$13, 100%, $E$13)</f>
        <v>9.7752999999999997</v>
      </c>
      <c r="K536" s="64">
        <f>9.7754 * CHOOSE(CONTROL!$C$22, $C$13, 100%, $E$13)</f>
        <v>9.7753999999999994</v>
      </c>
    </row>
    <row r="537" spans="1:11" ht="15">
      <c r="A537" s="13">
        <v>57831</v>
      </c>
      <c r="B537" s="63">
        <f>8.2208 * CHOOSE(CONTROL!$C$22, $C$13, 100%, $E$13)</f>
        <v>8.2208000000000006</v>
      </c>
      <c r="C537" s="63">
        <f>8.2208 * CHOOSE(CONTROL!$C$22, $C$13, 100%, $E$13)</f>
        <v>8.2208000000000006</v>
      </c>
      <c r="D537" s="63">
        <f>8.2289 * CHOOSE(CONTROL!$C$22, $C$13, 100%, $E$13)</f>
        <v>8.2288999999999994</v>
      </c>
      <c r="E537" s="64">
        <f>9.8267 * CHOOSE(CONTROL!$C$22, $C$13, 100%, $E$13)</f>
        <v>9.8267000000000007</v>
      </c>
      <c r="F537" s="64">
        <f>9.8267 * CHOOSE(CONTROL!$C$22, $C$13, 100%, $E$13)</f>
        <v>9.8267000000000007</v>
      </c>
      <c r="G537" s="64">
        <f>9.8365 * CHOOSE(CONTROL!$C$22, $C$13, 100%, $E$13)</f>
        <v>9.8364999999999991</v>
      </c>
      <c r="H537" s="64">
        <f>16.4962* CHOOSE(CONTROL!$C$22, $C$13, 100%, $E$13)</f>
        <v>16.496200000000002</v>
      </c>
      <c r="I537" s="64">
        <f>16.506 * CHOOSE(CONTROL!$C$22, $C$13, 100%, $E$13)</f>
        <v>16.506</v>
      </c>
      <c r="J537" s="64">
        <f>9.8267 * CHOOSE(CONTROL!$C$22, $C$13, 100%, $E$13)</f>
        <v>9.8267000000000007</v>
      </c>
      <c r="K537" s="64">
        <f>9.8365 * CHOOSE(CONTROL!$C$22, $C$13, 100%, $E$13)</f>
        <v>9.8364999999999991</v>
      </c>
    </row>
    <row r="538" spans="1:11" ht="15">
      <c r="A538" s="13">
        <v>57862</v>
      </c>
      <c r="B538" s="63">
        <f>8.2269 * CHOOSE(CONTROL!$C$22, $C$13, 100%, $E$13)</f>
        <v>8.2269000000000005</v>
      </c>
      <c r="C538" s="63">
        <f>8.2269 * CHOOSE(CONTROL!$C$22, $C$13, 100%, $E$13)</f>
        <v>8.2269000000000005</v>
      </c>
      <c r="D538" s="63">
        <f>8.235 * CHOOSE(CONTROL!$C$22, $C$13, 100%, $E$13)</f>
        <v>8.2349999999999994</v>
      </c>
      <c r="E538" s="64">
        <f>9.7795 * CHOOSE(CONTROL!$C$22, $C$13, 100%, $E$13)</f>
        <v>9.7795000000000005</v>
      </c>
      <c r="F538" s="64">
        <f>9.7795 * CHOOSE(CONTROL!$C$22, $C$13, 100%, $E$13)</f>
        <v>9.7795000000000005</v>
      </c>
      <c r="G538" s="64">
        <f>9.7894 * CHOOSE(CONTROL!$C$22, $C$13, 100%, $E$13)</f>
        <v>9.7894000000000005</v>
      </c>
      <c r="H538" s="64">
        <f>16.5306* CHOOSE(CONTROL!$C$22, $C$13, 100%, $E$13)</f>
        <v>16.5306</v>
      </c>
      <c r="I538" s="64">
        <f>16.5404 * CHOOSE(CONTROL!$C$22, $C$13, 100%, $E$13)</f>
        <v>16.540400000000002</v>
      </c>
      <c r="J538" s="64">
        <f>9.7795 * CHOOSE(CONTROL!$C$22, $C$13, 100%, $E$13)</f>
        <v>9.7795000000000005</v>
      </c>
      <c r="K538" s="64">
        <f>9.7894 * CHOOSE(CONTROL!$C$22, $C$13, 100%, $E$13)</f>
        <v>9.7894000000000005</v>
      </c>
    </row>
    <row r="539" spans="1:11" ht="15">
      <c r="A539" s="13">
        <v>57892</v>
      </c>
      <c r="B539" s="63">
        <f>8.3557 * CHOOSE(CONTROL!$C$22, $C$13, 100%, $E$13)</f>
        <v>8.3557000000000006</v>
      </c>
      <c r="C539" s="63">
        <f>8.3557 * CHOOSE(CONTROL!$C$22, $C$13, 100%, $E$13)</f>
        <v>8.3557000000000006</v>
      </c>
      <c r="D539" s="63">
        <f>8.3638 * CHOOSE(CONTROL!$C$22, $C$13, 100%, $E$13)</f>
        <v>8.3637999999999995</v>
      </c>
      <c r="E539" s="64">
        <f>9.9397 * CHOOSE(CONTROL!$C$22, $C$13, 100%, $E$13)</f>
        <v>9.9397000000000002</v>
      </c>
      <c r="F539" s="64">
        <f>9.9397 * CHOOSE(CONTROL!$C$22, $C$13, 100%, $E$13)</f>
        <v>9.9397000000000002</v>
      </c>
      <c r="G539" s="64">
        <f>9.9495 * CHOOSE(CONTROL!$C$22, $C$13, 100%, $E$13)</f>
        <v>9.9495000000000005</v>
      </c>
      <c r="H539" s="64">
        <f>16.565* CHOOSE(CONTROL!$C$22, $C$13, 100%, $E$13)</f>
        <v>16.565000000000001</v>
      </c>
      <c r="I539" s="64">
        <f>16.5748 * CHOOSE(CONTROL!$C$22, $C$13, 100%, $E$13)</f>
        <v>16.5748</v>
      </c>
      <c r="J539" s="64">
        <f>9.9397 * CHOOSE(CONTROL!$C$22, $C$13, 100%, $E$13)</f>
        <v>9.9397000000000002</v>
      </c>
      <c r="K539" s="64">
        <f>9.9495 * CHOOSE(CONTROL!$C$22, $C$13, 100%, $E$13)</f>
        <v>9.9495000000000005</v>
      </c>
    </row>
    <row r="540" spans="1:11" ht="15">
      <c r="A540" s="13">
        <v>57923</v>
      </c>
      <c r="B540" s="63">
        <f>8.3623 * CHOOSE(CONTROL!$C$22, $C$13, 100%, $E$13)</f>
        <v>8.3622999999999994</v>
      </c>
      <c r="C540" s="63">
        <f>8.3623 * CHOOSE(CONTROL!$C$22, $C$13, 100%, $E$13)</f>
        <v>8.3622999999999994</v>
      </c>
      <c r="D540" s="63">
        <f>8.3705 * CHOOSE(CONTROL!$C$22, $C$13, 100%, $E$13)</f>
        <v>8.3704999999999998</v>
      </c>
      <c r="E540" s="64">
        <f>9.7901 * CHOOSE(CONTROL!$C$22, $C$13, 100%, $E$13)</f>
        <v>9.7901000000000007</v>
      </c>
      <c r="F540" s="64">
        <f>9.7901 * CHOOSE(CONTROL!$C$22, $C$13, 100%, $E$13)</f>
        <v>9.7901000000000007</v>
      </c>
      <c r="G540" s="64">
        <f>9.7999 * CHOOSE(CONTROL!$C$22, $C$13, 100%, $E$13)</f>
        <v>9.7998999999999992</v>
      </c>
      <c r="H540" s="64">
        <f>16.5995* CHOOSE(CONTROL!$C$22, $C$13, 100%, $E$13)</f>
        <v>16.599499999999999</v>
      </c>
      <c r="I540" s="64">
        <f>16.6093 * CHOOSE(CONTROL!$C$22, $C$13, 100%, $E$13)</f>
        <v>16.609300000000001</v>
      </c>
      <c r="J540" s="64">
        <f>9.7901 * CHOOSE(CONTROL!$C$22, $C$13, 100%, $E$13)</f>
        <v>9.7901000000000007</v>
      </c>
      <c r="K540" s="64">
        <f>9.7999 * CHOOSE(CONTROL!$C$22, $C$13, 100%, $E$13)</f>
        <v>9.7998999999999992</v>
      </c>
    </row>
    <row r="541" spans="1:11" ht="15">
      <c r="A541" s="13">
        <v>57954</v>
      </c>
      <c r="B541" s="63">
        <f>8.3593 * CHOOSE(CONTROL!$C$22, $C$13, 100%, $E$13)</f>
        <v>8.3592999999999993</v>
      </c>
      <c r="C541" s="63">
        <f>8.3593 * CHOOSE(CONTROL!$C$22, $C$13, 100%, $E$13)</f>
        <v>8.3592999999999993</v>
      </c>
      <c r="D541" s="63">
        <f>8.3674 * CHOOSE(CONTROL!$C$22, $C$13, 100%, $E$13)</f>
        <v>8.3673999999999999</v>
      </c>
      <c r="E541" s="64">
        <f>9.7709 * CHOOSE(CONTROL!$C$22, $C$13, 100%, $E$13)</f>
        <v>9.7708999999999993</v>
      </c>
      <c r="F541" s="64">
        <f>9.7709 * CHOOSE(CONTROL!$C$22, $C$13, 100%, $E$13)</f>
        <v>9.7708999999999993</v>
      </c>
      <c r="G541" s="64">
        <f>9.7807 * CHOOSE(CONTROL!$C$22, $C$13, 100%, $E$13)</f>
        <v>9.7806999999999995</v>
      </c>
      <c r="H541" s="64">
        <f>16.6341* CHOOSE(CONTROL!$C$22, $C$13, 100%, $E$13)</f>
        <v>16.6341</v>
      </c>
      <c r="I541" s="64">
        <f>16.6439 * CHOOSE(CONTROL!$C$22, $C$13, 100%, $E$13)</f>
        <v>16.643899999999999</v>
      </c>
      <c r="J541" s="64">
        <f>9.7709 * CHOOSE(CONTROL!$C$22, $C$13, 100%, $E$13)</f>
        <v>9.7708999999999993</v>
      </c>
      <c r="K541" s="64">
        <f>9.7807 * CHOOSE(CONTROL!$C$22, $C$13, 100%, $E$13)</f>
        <v>9.7806999999999995</v>
      </c>
    </row>
    <row r="542" spans="1:11" ht="15">
      <c r="A542" s="13">
        <v>57984</v>
      </c>
      <c r="B542" s="63">
        <f>8.3686 * CHOOSE(CONTROL!$C$22, $C$13, 100%, $E$13)</f>
        <v>8.3686000000000007</v>
      </c>
      <c r="C542" s="63">
        <f>8.3686 * CHOOSE(CONTROL!$C$22, $C$13, 100%, $E$13)</f>
        <v>8.3686000000000007</v>
      </c>
      <c r="D542" s="63">
        <f>8.3686 * CHOOSE(CONTROL!$C$22, $C$13, 100%, $E$13)</f>
        <v>8.3686000000000007</v>
      </c>
      <c r="E542" s="64">
        <f>9.826 * CHOOSE(CONTROL!$C$22, $C$13, 100%, $E$13)</f>
        <v>9.8260000000000005</v>
      </c>
      <c r="F542" s="64">
        <f>9.826 * CHOOSE(CONTROL!$C$22, $C$13, 100%, $E$13)</f>
        <v>9.8260000000000005</v>
      </c>
      <c r="G542" s="64">
        <f>9.8261 * CHOOSE(CONTROL!$C$22, $C$13, 100%, $E$13)</f>
        <v>9.8261000000000003</v>
      </c>
      <c r="H542" s="64">
        <f>16.6687* CHOOSE(CONTROL!$C$22, $C$13, 100%, $E$13)</f>
        <v>16.668700000000001</v>
      </c>
      <c r="I542" s="64">
        <f>16.6688 * CHOOSE(CONTROL!$C$22, $C$13, 100%, $E$13)</f>
        <v>16.668800000000001</v>
      </c>
      <c r="J542" s="64">
        <f>9.826 * CHOOSE(CONTROL!$C$22, $C$13, 100%, $E$13)</f>
        <v>9.8260000000000005</v>
      </c>
      <c r="K542" s="64">
        <f>9.8261 * CHOOSE(CONTROL!$C$22, $C$13, 100%, $E$13)</f>
        <v>9.8261000000000003</v>
      </c>
    </row>
    <row r="543" spans="1:11" ht="15">
      <c r="A543" s="13">
        <v>58015</v>
      </c>
      <c r="B543" s="63">
        <f>8.3717 * CHOOSE(CONTROL!$C$22, $C$13, 100%, $E$13)</f>
        <v>8.3717000000000006</v>
      </c>
      <c r="C543" s="63">
        <f>8.3717 * CHOOSE(CONTROL!$C$22, $C$13, 100%, $E$13)</f>
        <v>8.3717000000000006</v>
      </c>
      <c r="D543" s="63">
        <f>8.3717 * CHOOSE(CONTROL!$C$22, $C$13, 100%, $E$13)</f>
        <v>8.3717000000000006</v>
      </c>
      <c r="E543" s="64">
        <f>9.8624 * CHOOSE(CONTROL!$C$22, $C$13, 100%, $E$13)</f>
        <v>9.8623999999999992</v>
      </c>
      <c r="F543" s="64">
        <f>9.8624 * CHOOSE(CONTROL!$C$22, $C$13, 100%, $E$13)</f>
        <v>9.8623999999999992</v>
      </c>
      <c r="G543" s="64">
        <f>9.8625 * CHOOSE(CONTROL!$C$22, $C$13, 100%, $E$13)</f>
        <v>9.8625000000000007</v>
      </c>
      <c r="H543" s="64">
        <f>16.7035* CHOOSE(CONTROL!$C$22, $C$13, 100%, $E$13)</f>
        <v>16.703499999999998</v>
      </c>
      <c r="I543" s="64">
        <f>16.7035 * CHOOSE(CONTROL!$C$22, $C$13, 100%, $E$13)</f>
        <v>16.703499999999998</v>
      </c>
      <c r="J543" s="64">
        <f>9.8624 * CHOOSE(CONTROL!$C$22, $C$13, 100%, $E$13)</f>
        <v>9.8623999999999992</v>
      </c>
      <c r="K543" s="64">
        <f>9.8625 * CHOOSE(CONTROL!$C$22, $C$13, 100%, $E$13)</f>
        <v>9.8625000000000007</v>
      </c>
    </row>
    <row r="544" spans="1:11" ht="15">
      <c r="A544" s="13">
        <v>58045</v>
      </c>
      <c r="B544" s="63">
        <f>8.3717 * CHOOSE(CONTROL!$C$22, $C$13, 100%, $E$13)</f>
        <v>8.3717000000000006</v>
      </c>
      <c r="C544" s="63">
        <f>8.3717 * CHOOSE(CONTROL!$C$22, $C$13, 100%, $E$13)</f>
        <v>8.3717000000000006</v>
      </c>
      <c r="D544" s="63">
        <f>8.3717 * CHOOSE(CONTROL!$C$22, $C$13, 100%, $E$13)</f>
        <v>8.3717000000000006</v>
      </c>
      <c r="E544" s="64">
        <f>9.7767 * CHOOSE(CONTROL!$C$22, $C$13, 100%, $E$13)</f>
        <v>9.7766999999999999</v>
      </c>
      <c r="F544" s="64">
        <f>9.7767 * CHOOSE(CONTROL!$C$22, $C$13, 100%, $E$13)</f>
        <v>9.7766999999999999</v>
      </c>
      <c r="G544" s="64">
        <f>9.7768 * CHOOSE(CONTROL!$C$22, $C$13, 100%, $E$13)</f>
        <v>9.7767999999999997</v>
      </c>
      <c r="H544" s="64">
        <f>16.7383* CHOOSE(CONTROL!$C$22, $C$13, 100%, $E$13)</f>
        <v>16.738299999999999</v>
      </c>
      <c r="I544" s="64">
        <f>16.7383 * CHOOSE(CONTROL!$C$22, $C$13, 100%, $E$13)</f>
        <v>16.738299999999999</v>
      </c>
      <c r="J544" s="64">
        <f>9.7767 * CHOOSE(CONTROL!$C$22, $C$13, 100%, $E$13)</f>
        <v>9.7766999999999999</v>
      </c>
      <c r="K544" s="64">
        <f>9.7768 * CHOOSE(CONTROL!$C$22, $C$13, 100%, $E$13)</f>
        <v>9.7767999999999997</v>
      </c>
    </row>
    <row r="545" spans="1:11" ht="15">
      <c r="A545" s="13">
        <v>58076</v>
      </c>
      <c r="B545" s="63">
        <f>8.4433 * CHOOSE(CONTROL!$C$22, $C$13, 100%, $E$13)</f>
        <v>8.4433000000000007</v>
      </c>
      <c r="C545" s="63">
        <f>8.4433 * CHOOSE(CONTROL!$C$22, $C$13, 100%, $E$13)</f>
        <v>8.4433000000000007</v>
      </c>
      <c r="D545" s="63">
        <f>8.4433 * CHOOSE(CONTROL!$C$22, $C$13, 100%, $E$13)</f>
        <v>8.4433000000000007</v>
      </c>
      <c r="E545" s="64">
        <f>9.9178 * CHOOSE(CONTROL!$C$22, $C$13, 100%, $E$13)</f>
        <v>9.9177999999999997</v>
      </c>
      <c r="F545" s="64">
        <f>9.9178 * CHOOSE(CONTROL!$C$22, $C$13, 100%, $E$13)</f>
        <v>9.9177999999999997</v>
      </c>
      <c r="G545" s="64">
        <f>9.9178 * CHOOSE(CONTROL!$C$22, $C$13, 100%, $E$13)</f>
        <v>9.9177999999999997</v>
      </c>
      <c r="H545" s="64">
        <f>16.7731* CHOOSE(CONTROL!$C$22, $C$13, 100%, $E$13)</f>
        <v>16.773099999999999</v>
      </c>
      <c r="I545" s="64">
        <f>16.7732 * CHOOSE(CONTROL!$C$22, $C$13, 100%, $E$13)</f>
        <v>16.773199999999999</v>
      </c>
      <c r="J545" s="64">
        <f>9.9178 * CHOOSE(CONTROL!$C$22, $C$13, 100%, $E$13)</f>
        <v>9.9177999999999997</v>
      </c>
      <c r="K545" s="64">
        <f>9.9178 * CHOOSE(CONTROL!$C$22, $C$13, 100%, $E$13)</f>
        <v>9.9177999999999997</v>
      </c>
    </row>
    <row r="546" spans="1:11" ht="15">
      <c r="A546" s="13">
        <v>58107</v>
      </c>
      <c r="B546" s="63">
        <f>8.4402 * CHOOSE(CONTROL!$C$22, $C$13, 100%, $E$13)</f>
        <v>8.4402000000000008</v>
      </c>
      <c r="C546" s="63">
        <f>8.4402 * CHOOSE(CONTROL!$C$22, $C$13, 100%, $E$13)</f>
        <v>8.4402000000000008</v>
      </c>
      <c r="D546" s="63">
        <f>8.4402 * CHOOSE(CONTROL!$C$22, $C$13, 100%, $E$13)</f>
        <v>8.4402000000000008</v>
      </c>
      <c r="E546" s="64">
        <f>9.7492 * CHOOSE(CONTROL!$C$22, $C$13, 100%, $E$13)</f>
        <v>9.7492000000000001</v>
      </c>
      <c r="F546" s="64">
        <f>9.7492 * CHOOSE(CONTROL!$C$22, $C$13, 100%, $E$13)</f>
        <v>9.7492000000000001</v>
      </c>
      <c r="G546" s="64">
        <f>9.7492 * CHOOSE(CONTROL!$C$22, $C$13, 100%, $E$13)</f>
        <v>9.7492000000000001</v>
      </c>
      <c r="H546" s="64">
        <f>16.8081* CHOOSE(CONTROL!$C$22, $C$13, 100%, $E$13)</f>
        <v>16.8081</v>
      </c>
      <c r="I546" s="64">
        <f>16.8082 * CHOOSE(CONTROL!$C$22, $C$13, 100%, $E$13)</f>
        <v>16.808199999999999</v>
      </c>
      <c r="J546" s="64">
        <f>9.7492 * CHOOSE(CONTROL!$C$22, $C$13, 100%, $E$13)</f>
        <v>9.7492000000000001</v>
      </c>
      <c r="K546" s="64">
        <f>9.7492 * CHOOSE(CONTROL!$C$22, $C$13, 100%, $E$13)</f>
        <v>9.7492000000000001</v>
      </c>
    </row>
    <row r="547" spans="1:11" ht="15">
      <c r="A547" s="13">
        <v>58135</v>
      </c>
      <c r="B547" s="63">
        <f>8.4372 * CHOOSE(CONTROL!$C$22, $C$13, 100%, $E$13)</f>
        <v>8.4372000000000007</v>
      </c>
      <c r="C547" s="63">
        <f>8.4372 * CHOOSE(CONTROL!$C$22, $C$13, 100%, $E$13)</f>
        <v>8.4372000000000007</v>
      </c>
      <c r="D547" s="63">
        <f>8.4372 * CHOOSE(CONTROL!$C$22, $C$13, 100%, $E$13)</f>
        <v>8.4372000000000007</v>
      </c>
      <c r="E547" s="64">
        <f>9.8783 * CHOOSE(CONTROL!$C$22, $C$13, 100%, $E$13)</f>
        <v>9.8782999999999994</v>
      </c>
      <c r="F547" s="64">
        <f>9.8783 * CHOOSE(CONTROL!$C$22, $C$13, 100%, $E$13)</f>
        <v>9.8782999999999994</v>
      </c>
      <c r="G547" s="64">
        <f>9.8784 * CHOOSE(CONTROL!$C$22, $C$13, 100%, $E$13)</f>
        <v>9.8783999999999992</v>
      </c>
      <c r="H547" s="64">
        <f>16.8431* CHOOSE(CONTROL!$C$22, $C$13, 100%, $E$13)</f>
        <v>16.8431</v>
      </c>
      <c r="I547" s="64">
        <f>16.8432 * CHOOSE(CONTROL!$C$22, $C$13, 100%, $E$13)</f>
        <v>16.8432</v>
      </c>
      <c r="J547" s="64">
        <f>9.8783 * CHOOSE(CONTROL!$C$22, $C$13, 100%, $E$13)</f>
        <v>9.8782999999999994</v>
      </c>
      <c r="K547" s="64">
        <f>9.8784 * CHOOSE(CONTROL!$C$22, $C$13, 100%, $E$13)</f>
        <v>9.8783999999999992</v>
      </c>
    </row>
    <row r="548" spans="1:11" ht="15">
      <c r="A548" s="13">
        <v>58166</v>
      </c>
      <c r="B548" s="63">
        <f>8.4386 * CHOOSE(CONTROL!$C$22, $C$13, 100%, $E$13)</f>
        <v>8.4385999999999992</v>
      </c>
      <c r="C548" s="63">
        <f>8.4386 * CHOOSE(CONTROL!$C$22, $C$13, 100%, $E$13)</f>
        <v>8.4385999999999992</v>
      </c>
      <c r="D548" s="63">
        <f>8.4386 * CHOOSE(CONTROL!$C$22, $C$13, 100%, $E$13)</f>
        <v>8.4385999999999992</v>
      </c>
      <c r="E548" s="64">
        <f>10.015 * CHOOSE(CONTROL!$C$22, $C$13, 100%, $E$13)</f>
        <v>10.015000000000001</v>
      </c>
      <c r="F548" s="64">
        <f>10.015 * CHOOSE(CONTROL!$C$22, $C$13, 100%, $E$13)</f>
        <v>10.015000000000001</v>
      </c>
      <c r="G548" s="64">
        <f>10.0151 * CHOOSE(CONTROL!$C$22, $C$13, 100%, $E$13)</f>
        <v>10.0151</v>
      </c>
      <c r="H548" s="64">
        <f>16.8782* CHOOSE(CONTROL!$C$22, $C$13, 100%, $E$13)</f>
        <v>16.8782</v>
      </c>
      <c r="I548" s="64">
        <f>16.8783 * CHOOSE(CONTROL!$C$22, $C$13, 100%, $E$13)</f>
        <v>16.878299999999999</v>
      </c>
      <c r="J548" s="64">
        <f>10.015 * CHOOSE(CONTROL!$C$22, $C$13, 100%, $E$13)</f>
        <v>10.015000000000001</v>
      </c>
      <c r="K548" s="64">
        <f>10.0151 * CHOOSE(CONTROL!$C$22, $C$13, 100%, $E$13)</f>
        <v>10.0151</v>
      </c>
    </row>
    <row r="549" spans="1:11" ht="15">
      <c r="A549" s="13">
        <v>58196</v>
      </c>
      <c r="B549" s="63">
        <f>8.4386 * CHOOSE(CONTROL!$C$22, $C$13, 100%, $E$13)</f>
        <v>8.4385999999999992</v>
      </c>
      <c r="C549" s="63">
        <f>8.4386 * CHOOSE(CONTROL!$C$22, $C$13, 100%, $E$13)</f>
        <v>8.4385999999999992</v>
      </c>
      <c r="D549" s="63">
        <f>8.4467 * CHOOSE(CONTROL!$C$22, $C$13, 100%, $E$13)</f>
        <v>8.4466999999999999</v>
      </c>
      <c r="E549" s="64">
        <f>10.0679 * CHOOSE(CONTROL!$C$22, $C$13, 100%, $E$13)</f>
        <v>10.0679</v>
      </c>
      <c r="F549" s="64">
        <f>10.0679 * CHOOSE(CONTROL!$C$22, $C$13, 100%, $E$13)</f>
        <v>10.0679</v>
      </c>
      <c r="G549" s="64">
        <f>10.0777 * CHOOSE(CONTROL!$C$22, $C$13, 100%, $E$13)</f>
        <v>10.0777</v>
      </c>
      <c r="H549" s="64">
        <f>16.9134* CHOOSE(CONTROL!$C$22, $C$13, 100%, $E$13)</f>
        <v>16.913399999999999</v>
      </c>
      <c r="I549" s="64">
        <f>16.9232 * CHOOSE(CONTROL!$C$22, $C$13, 100%, $E$13)</f>
        <v>16.923200000000001</v>
      </c>
      <c r="J549" s="64">
        <f>10.0679 * CHOOSE(CONTROL!$C$22, $C$13, 100%, $E$13)</f>
        <v>10.0679</v>
      </c>
      <c r="K549" s="64">
        <f>10.0777 * CHOOSE(CONTROL!$C$22, $C$13, 100%, $E$13)</f>
        <v>10.0777</v>
      </c>
    </row>
    <row r="550" spans="1:11" ht="15">
      <c r="A550" s="13">
        <v>58227</v>
      </c>
      <c r="B550" s="63">
        <f>8.4447 * CHOOSE(CONTROL!$C$22, $C$13, 100%, $E$13)</f>
        <v>8.4446999999999992</v>
      </c>
      <c r="C550" s="63">
        <f>8.4447 * CHOOSE(CONTROL!$C$22, $C$13, 100%, $E$13)</f>
        <v>8.4446999999999992</v>
      </c>
      <c r="D550" s="63">
        <f>8.4528 * CHOOSE(CONTROL!$C$22, $C$13, 100%, $E$13)</f>
        <v>8.4527999999999999</v>
      </c>
      <c r="E550" s="64">
        <f>10.0192 * CHOOSE(CONTROL!$C$22, $C$13, 100%, $E$13)</f>
        <v>10.0192</v>
      </c>
      <c r="F550" s="64">
        <f>10.0192 * CHOOSE(CONTROL!$C$22, $C$13, 100%, $E$13)</f>
        <v>10.0192</v>
      </c>
      <c r="G550" s="64">
        <f>10.0291 * CHOOSE(CONTROL!$C$22, $C$13, 100%, $E$13)</f>
        <v>10.0291</v>
      </c>
      <c r="H550" s="64">
        <f>16.9486* CHOOSE(CONTROL!$C$22, $C$13, 100%, $E$13)</f>
        <v>16.948599999999999</v>
      </c>
      <c r="I550" s="64">
        <f>16.9584 * CHOOSE(CONTROL!$C$22, $C$13, 100%, $E$13)</f>
        <v>16.958400000000001</v>
      </c>
      <c r="J550" s="64">
        <f>10.0192 * CHOOSE(CONTROL!$C$22, $C$13, 100%, $E$13)</f>
        <v>10.0192</v>
      </c>
      <c r="K550" s="64">
        <f>10.0291 * CHOOSE(CONTROL!$C$22, $C$13, 100%, $E$13)</f>
        <v>10.0291</v>
      </c>
    </row>
    <row r="551" spans="1:11" ht="15">
      <c r="A551" s="13">
        <v>58257</v>
      </c>
      <c r="B551" s="63">
        <f>8.5766 * CHOOSE(CONTROL!$C$22, $C$13, 100%, $E$13)</f>
        <v>8.5765999999999991</v>
      </c>
      <c r="C551" s="63">
        <f>8.5766 * CHOOSE(CONTROL!$C$22, $C$13, 100%, $E$13)</f>
        <v>8.5765999999999991</v>
      </c>
      <c r="D551" s="63">
        <f>8.5847 * CHOOSE(CONTROL!$C$22, $C$13, 100%, $E$13)</f>
        <v>8.5846999999999998</v>
      </c>
      <c r="E551" s="64">
        <f>10.183 * CHOOSE(CONTROL!$C$22, $C$13, 100%, $E$13)</f>
        <v>10.183</v>
      </c>
      <c r="F551" s="64">
        <f>10.183 * CHOOSE(CONTROL!$C$22, $C$13, 100%, $E$13)</f>
        <v>10.183</v>
      </c>
      <c r="G551" s="64">
        <f>10.1929 * CHOOSE(CONTROL!$C$22, $C$13, 100%, $E$13)</f>
        <v>10.1929</v>
      </c>
      <c r="H551" s="64">
        <f>16.9839* CHOOSE(CONTROL!$C$22, $C$13, 100%, $E$13)</f>
        <v>16.983899999999998</v>
      </c>
      <c r="I551" s="64">
        <f>16.9937 * CHOOSE(CONTROL!$C$22, $C$13, 100%, $E$13)</f>
        <v>16.9937</v>
      </c>
      <c r="J551" s="64">
        <f>10.183 * CHOOSE(CONTROL!$C$22, $C$13, 100%, $E$13)</f>
        <v>10.183</v>
      </c>
      <c r="K551" s="64">
        <f>10.1929 * CHOOSE(CONTROL!$C$22, $C$13, 100%, $E$13)</f>
        <v>10.1929</v>
      </c>
    </row>
    <row r="552" spans="1:11" ht="15">
      <c r="A552" s="13">
        <v>58288</v>
      </c>
      <c r="B552" s="63">
        <f>8.5833 * CHOOSE(CONTROL!$C$22, $C$13, 100%, $E$13)</f>
        <v>8.5832999999999995</v>
      </c>
      <c r="C552" s="63">
        <f>8.5833 * CHOOSE(CONTROL!$C$22, $C$13, 100%, $E$13)</f>
        <v>8.5832999999999995</v>
      </c>
      <c r="D552" s="63">
        <f>8.5914 * CHOOSE(CONTROL!$C$22, $C$13, 100%, $E$13)</f>
        <v>8.5914000000000001</v>
      </c>
      <c r="E552" s="64">
        <f>10.0291 * CHOOSE(CONTROL!$C$22, $C$13, 100%, $E$13)</f>
        <v>10.0291</v>
      </c>
      <c r="F552" s="64">
        <f>10.0291 * CHOOSE(CONTROL!$C$22, $C$13, 100%, $E$13)</f>
        <v>10.0291</v>
      </c>
      <c r="G552" s="64">
        <f>10.039 * CHOOSE(CONTROL!$C$22, $C$13, 100%, $E$13)</f>
        <v>10.039</v>
      </c>
      <c r="H552" s="64">
        <f>17.0193* CHOOSE(CONTROL!$C$22, $C$13, 100%, $E$13)</f>
        <v>17.019300000000001</v>
      </c>
      <c r="I552" s="64">
        <f>17.0291 * CHOOSE(CONTROL!$C$22, $C$13, 100%, $E$13)</f>
        <v>17.0291</v>
      </c>
      <c r="J552" s="64">
        <f>10.0291 * CHOOSE(CONTROL!$C$22, $C$13, 100%, $E$13)</f>
        <v>10.0291</v>
      </c>
      <c r="K552" s="64">
        <f>10.039 * CHOOSE(CONTROL!$C$22, $C$13, 100%, $E$13)</f>
        <v>10.039</v>
      </c>
    </row>
    <row r="553" spans="1:11" ht="15">
      <c r="A553" s="13">
        <v>58319</v>
      </c>
      <c r="B553" s="63">
        <f>8.5803 * CHOOSE(CONTROL!$C$22, $C$13, 100%, $E$13)</f>
        <v>8.5802999999999994</v>
      </c>
      <c r="C553" s="63">
        <f>8.5803 * CHOOSE(CONTROL!$C$22, $C$13, 100%, $E$13)</f>
        <v>8.5802999999999994</v>
      </c>
      <c r="D553" s="63">
        <f>8.5884 * CHOOSE(CONTROL!$C$22, $C$13, 100%, $E$13)</f>
        <v>8.5884</v>
      </c>
      <c r="E553" s="64">
        <f>10.0094 * CHOOSE(CONTROL!$C$22, $C$13, 100%, $E$13)</f>
        <v>10.009399999999999</v>
      </c>
      <c r="F553" s="64">
        <f>10.0094 * CHOOSE(CONTROL!$C$22, $C$13, 100%, $E$13)</f>
        <v>10.009399999999999</v>
      </c>
      <c r="G553" s="64">
        <f>10.0192 * CHOOSE(CONTROL!$C$22, $C$13, 100%, $E$13)</f>
        <v>10.0192</v>
      </c>
      <c r="H553" s="64">
        <f>17.0547* CHOOSE(CONTROL!$C$22, $C$13, 100%, $E$13)</f>
        <v>17.0547</v>
      </c>
      <c r="I553" s="64">
        <f>17.0646 * CHOOSE(CONTROL!$C$22, $C$13, 100%, $E$13)</f>
        <v>17.064599999999999</v>
      </c>
      <c r="J553" s="64">
        <f>10.0094 * CHOOSE(CONTROL!$C$22, $C$13, 100%, $E$13)</f>
        <v>10.009399999999999</v>
      </c>
      <c r="K553" s="64">
        <f>10.0192 * CHOOSE(CONTROL!$C$22, $C$13, 100%, $E$13)</f>
        <v>10.0192</v>
      </c>
    </row>
    <row r="554" spans="1:11" ht="15">
      <c r="A554" s="13">
        <v>58349</v>
      </c>
      <c r="B554" s="63">
        <f>8.5903 * CHOOSE(CONTROL!$C$22, $C$13, 100%, $E$13)</f>
        <v>8.5902999999999992</v>
      </c>
      <c r="C554" s="63">
        <f>8.5903 * CHOOSE(CONTROL!$C$22, $C$13, 100%, $E$13)</f>
        <v>8.5902999999999992</v>
      </c>
      <c r="D554" s="63">
        <f>8.5903 * CHOOSE(CONTROL!$C$22, $C$13, 100%, $E$13)</f>
        <v>8.5902999999999992</v>
      </c>
      <c r="E554" s="64">
        <f>10.0665 * CHOOSE(CONTROL!$C$22, $C$13, 100%, $E$13)</f>
        <v>10.0665</v>
      </c>
      <c r="F554" s="64">
        <f>10.0665 * CHOOSE(CONTROL!$C$22, $C$13, 100%, $E$13)</f>
        <v>10.0665</v>
      </c>
      <c r="G554" s="64">
        <f>10.0665 * CHOOSE(CONTROL!$C$22, $C$13, 100%, $E$13)</f>
        <v>10.0665</v>
      </c>
      <c r="H554" s="64">
        <f>17.0903* CHOOSE(CONTROL!$C$22, $C$13, 100%, $E$13)</f>
        <v>17.090299999999999</v>
      </c>
      <c r="I554" s="64">
        <f>17.0903 * CHOOSE(CONTROL!$C$22, $C$13, 100%, $E$13)</f>
        <v>17.090299999999999</v>
      </c>
      <c r="J554" s="64">
        <f>10.0665 * CHOOSE(CONTROL!$C$22, $C$13, 100%, $E$13)</f>
        <v>10.0665</v>
      </c>
      <c r="K554" s="64">
        <f>10.0665 * CHOOSE(CONTROL!$C$22, $C$13, 100%, $E$13)</f>
        <v>10.0665</v>
      </c>
    </row>
    <row r="555" spans="1:11" ht="15">
      <c r="A555" s="13">
        <v>58380</v>
      </c>
      <c r="B555" s="63">
        <f>8.5934 * CHOOSE(CONTROL!$C$22, $C$13, 100%, $E$13)</f>
        <v>8.5934000000000008</v>
      </c>
      <c r="C555" s="63">
        <f>8.5934 * CHOOSE(CONTROL!$C$22, $C$13, 100%, $E$13)</f>
        <v>8.5934000000000008</v>
      </c>
      <c r="D555" s="63">
        <f>8.5934 * CHOOSE(CONTROL!$C$22, $C$13, 100%, $E$13)</f>
        <v>8.5934000000000008</v>
      </c>
      <c r="E555" s="64">
        <f>10.1038 * CHOOSE(CONTROL!$C$22, $C$13, 100%, $E$13)</f>
        <v>10.1038</v>
      </c>
      <c r="F555" s="64">
        <f>10.1038 * CHOOSE(CONTROL!$C$22, $C$13, 100%, $E$13)</f>
        <v>10.1038</v>
      </c>
      <c r="G555" s="64">
        <f>10.1039 * CHOOSE(CONTROL!$C$22, $C$13, 100%, $E$13)</f>
        <v>10.103899999999999</v>
      </c>
      <c r="H555" s="64">
        <f>17.1259* CHOOSE(CONTROL!$C$22, $C$13, 100%, $E$13)</f>
        <v>17.125900000000001</v>
      </c>
      <c r="I555" s="64">
        <f>17.126 * CHOOSE(CONTROL!$C$22, $C$13, 100%, $E$13)</f>
        <v>17.126000000000001</v>
      </c>
      <c r="J555" s="64">
        <f>10.1038 * CHOOSE(CONTROL!$C$22, $C$13, 100%, $E$13)</f>
        <v>10.1038</v>
      </c>
      <c r="K555" s="64">
        <f>10.1039 * CHOOSE(CONTROL!$C$22, $C$13, 100%, $E$13)</f>
        <v>10.103899999999999</v>
      </c>
    </row>
    <row r="556" spans="1:11" ht="15">
      <c r="A556" s="13">
        <v>58410</v>
      </c>
      <c r="B556" s="63">
        <f>8.5934 * CHOOSE(CONTROL!$C$22, $C$13, 100%, $E$13)</f>
        <v>8.5934000000000008</v>
      </c>
      <c r="C556" s="63">
        <f>8.5934 * CHOOSE(CONTROL!$C$22, $C$13, 100%, $E$13)</f>
        <v>8.5934000000000008</v>
      </c>
      <c r="D556" s="63">
        <f>8.5934 * CHOOSE(CONTROL!$C$22, $C$13, 100%, $E$13)</f>
        <v>8.5934000000000008</v>
      </c>
      <c r="E556" s="64">
        <f>10.0157 * CHOOSE(CONTROL!$C$22, $C$13, 100%, $E$13)</f>
        <v>10.015700000000001</v>
      </c>
      <c r="F556" s="64">
        <f>10.0157 * CHOOSE(CONTROL!$C$22, $C$13, 100%, $E$13)</f>
        <v>10.015700000000001</v>
      </c>
      <c r="G556" s="64">
        <f>10.0158 * CHOOSE(CONTROL!$C$22, $C$13, 100%, $E$13)</f>
        <v>10.0158</v>
      </c>
      <c r="H556" s="64">
        <f>17.1616* CHOOSE(CONTROL!$C$22, $C$13, 100%, $E$13)</f>
        <v>17.1616</v>
      </c>
      <c r="I556" s="64">
        <f>17.1616 * CHOOSE(CONTROL!$C$22, $C$13, 100%, $E$13)</f>
        <v>17.1616</v>
      </c>
      <c r="J556" s="64">
        <f>10.0157 * CHOOSE(CONTROL!$C$22, $C$13, 100%, $E$13)</f>
        <v>10.015700000000001</v>
      </c>
      <c r="K556" s="64">
        <f>10.0158 * CHOOSE(CONTROL!$C$22, $C$13, 100%, $E$13)</f>
        <v>10.0158</v>
      </c>
    </row>
    <row r="557" spans="1:11" ht="15">
      <c r="A557" s="13">
        <v>58441</v>
      </c>
      <c r="B557" s="63">
        <f>8.6667 * CHOOSE(CONTROL!$C$22, $C$13, 100%, $E$13)</f>
        <v>8.6667000000000005</v>
      </c>
      <c r="C557" s="63">
        <f>8.6667 * CHOOSE(CONTROL!$C$22, $C$13, 100%, $E$13)</f>
        <v>8.6667000000000005</v>
      </c>
      <c r="D557" s="63">
        <f>8.6667 * CHOOSE(CONTROL!$C$22, $C$13, 100%, $E$13)</f>
        <v>8.6667000000000005</v>
      </c>
      <c r="E557" s="64">
        <f>10.1604 * CHOOSE(CONTROL!$C$22, $C$13, 100%, $E$13)</f>
        <v>10.160399999999999</v>
      </c>
      <c r="F557" s="64">
        <f>10.1604 * CHOOSE(CONTROL!$C$22, $C$13, 100%, $E$13)</f>
        <v>10.160399999999999</v>
      </c>
      <c r="G557" s="64">
        <f>10.1605 * CHOOSE(CONTROL!$C$22, $C$13, 100%, $E$13)</f>
        <v>10.160500000000001</v>
      </c>
      <c r="H557" s="64">
        <f>17.1973* CHOOSE(CONTROL!$C$22, $C$13, 100%, $E$13)</f>
        <v>17.197299999999998</v>
      </c>
      <c r="I557" s="64">
        <f>17.1974 * CHOOSE(CONTROL!$C$22, $C$13, 100%, $E$13)</f>
        <v>17.197399999999998</v>
      </c>
      <c r="J557" s="64">
        <f>10.1604 * CHOOSE(CONTROL!$C$22, $C$13, 100%, $E$13)</f>
        <v>10.160399999999999</v>
      </c>
      <c r="K557" s="64">
        <f>10.1605 * CHOOSE(CONTROL!$C$22, $C$13, 100%, $E$13)</f>
        <v>10.160500000000001</v>
      </c>
    </row>
    <row r="558" spans="1:11" ht="15">
      <c r="A558" s="13">
        <v>58472</v>
      </c>
      <c r="B558" s="63">
        <f>8.6637 * CHOOSE(CONTROL!$C$22, $C$13, 100%, $E$13)</f>
        <v>8.6637000000000004</v>
      </c>
      <c r="C558" s="63">
        <f>8.6637 * CHOOSE(CONTROL!$C$22, $C$13, 100%, $E$13)</f>
        <v>8.6637000000000004</v>
      </c>
      <c r="D558" s="63">
        <f>8.6637 * CHOOSE(CONTROL!$C$22, $C$13, 100%, $E$13)</f>
        <v>8.6637000000000004</v>
      </c>
      <c r="E558" s="64">
        <f>9.9871 * CHOOSE(CONTROL!$C$22, $C$13, 100%, $E$13)</f>
        <v>9.9870999999999999</v>
      </c>
      <c r="F558" s="64">
        <f>9.9871 * CHOOSE(CONTROL!$C$22, $C$13, 100%, $E$13)</f>
        <v>9.9870999999999999</v>
      </c>
      <c r="G558" s="64">
        <f>9.9872 * CHOOSE(CONTROL!$C$22, $C$13, 100%, $E$13)</f>
        <v>9.9871999999999996</v>
      </c>
      <c r="H558" s="64">
        <f>17.2331* CHOOSE(CONTROL!$C$22, $C$13, 100%, $E$13)</f>
        <v>17.2331</v>
      </c>
      <c r="I558" s="64">
        <f>17.2332 * CHOOSE(CONTROL!$C$22, $C$13, 100%, $E$13)</f>
        <v>17.2332</v>
      </c>
      <c r="J558" s="64">
        <f>9.9871 * CHOOSE(CONTROL!$C$22, $C$13, 100%, $E$13)</f>
        <v>9.9870999999999999</v>
      </c>
      <c r="K558" s="64">
        <f>9.9872 * CHOOSE(CONTROL!$C$22, $C$13, 100%, $E$13)</f>
        <v>9.9871999999999996</v>
      </c>
    </row>
    <row r="559" spans="1:11" ht="15">
      <c r="A559" s="13">
        <v>58501</v>
      </c>
      <c r="B559" s="63">
        <f>8.6607 * CHOOSE(CONTROL!$C$22, $C$13, 100%, $E$13)</f>
        <v>8.6607000000000003</v>
      </c>
      <c r="C559" s="63">
        <f>8.6607 * CHOOSE(CONTROL!$C$22, $C$13, 100%, $E$13)</f>
        <v>8.6607000000000003</v>
      </c>
      <c r="D559" s="63">
        <f>8.6607 * CHOOSE(CONTROL!$C$22, $C$13, 100%, $E$13)</f>
        <v>8.6607000000000003</v>
      </c>
      <c r="E559" s="64">
        <f>10.1199 * CHOOSE(CONTROL!$C$22, $C$13, 100%, $E$13)</f>
        <v>10.119899999999999</v>
      </c>
      <c r="F559" s="64">
        <f>10.1199 * CHOOSE(CONTROL!$C$22, $C$13, 100%, $E$13)</f>
        <v>10.119899999999999</v>
      </c>
      <c r="G559" s="64">
        <f>10.12 * CHOOSE(CONTROL!$C$22, $C$13, 100%, $E$13)</f>
        <v>10.119999999999999</v>
      </c>
      <c r="H559" s="64">
        <f>17.269* CHOOSE(CONTROL!$C$22, $C$13, 100%, $E$13)</f>
        <v>17.268999999999998</v>
      </c>
      <c r="I559" s="64">
        <f>17.2691 * CHOOSE(CONTROL!$C$22, $C$13, 100%, $E$13)</f>
        <v>17.269100000000002</v>
      </c>
      <c r="J559" s="64">
        <f>10.1199 * CHOOSE(CONTROL!$C$22, $C$13, 100%, $E$13)</f>
        <v>10.119899999999999</v>
      </c>
      <c r="K559" s="64">
        <f>10.12 * CHOOSE(CONTROL!$C$22, $C$13, 100%, $E$13)</f>
        <v>10.119999999999999</v>
      </c>
    </row>
    <row r="560" spans="1:11" ht="15">
      <c r="A560" s="13">
        <v>58532</v>
      </c>
      <c r="B560" s="63">
        <f>8.6623 * CHOOSE(CONTROL!$C$22, $C$13, 100%, $E$13)</f>
        <v>8.6623000000000001</v>
      </c>
      <c r="C560" s="63">
        <f>8.6623 * CHOOSE(CONTROL!$C$22, $C$13, 100%, $E$13)</f>
        <v>8.6623000000000001</v>
      </c>
      <c r="D560" s="63">
        <f>8.6623 * CHOOSE(CONTROL!$C$22, $C$13, 100%, $E$13)</f>
        <v>8.6623000000000001</v>
      </c>
      <c r="E560" s="64">
        <f>10.2606 * CHOOSE(CONTROL!$C$22, $C$13, 100%, $E$13)</f>
        <v>10.2606</v>
      </c>
      <c r="F560" s="64">
        <f>10.2606 * CHOOSE(CONTROL!$C$22, $C$13, 100%, $E$13)</f>
        <v>10.2606</v>
      </c>
      <c r="G560" s="64">
        <f>10.2607 * CHOOSE(CONTROL!$C$22, $C$13, 100%, $E$13)</f>
        <v>10.2607</v>
      </c>
      <c r="H560" s="64">
        <f>17.305* CHOOSE(CONTROL!$C$22, $C$13, 100%, $E$13)</f>
        <v>17.305</v>
      </c>
      <c r="I560" s="64">
        <f>17.3051 * CHOOSE(CONTROL!$C$22, $C$13, 100%, $E$13)</f>
        <v>17.305099999999999</v>
      </c>
      <c r="J560" s="64">
        <f>10.2606 * CHOOSE(CONTROL!$C$22, $C$13, 100%, $E$13)</f>
        <v>10.2606</v>
      </c>
      <c r="K560" s="64">
        <f>10.2607 * CHOOSE(CONTROL!$C$22, $C$13, 100%, $E$13)</f>
        <v>10.2607</v>
      </c>
    </row>
    <row r="561" spans="1:11" ht="15">
      <c r="A561" s="13">
        <v>58562</v>
      </c>
      <c r="B561" s="63">
        <f>8.6623 * CHOOSE(CONTROL!$C$22, $C$13, 100%, $E$13)</f>
        <v>8.6623000000000001</v>
      </c>
      <c r="C561" s="63">
        <f>8.6623 * CHOOSE(CONTROL!$C$22, $C$13, 100%, $E$13)</f>
        <v>8.6623000000000001</v>
      </c>
      <c r="D561" s="63">
        <f>8.6704 * CHOOSE(CONTROL!$C$22, $C$13, 100%, $E$13)</f>
        <v>8.6704000000000008</v>
      </c>
      <c r="E561" s="64">
        <f>10.315 * CHOOSE(CONTROL!$C$22, $C$13, 100%, $E$13)</f>
        <v>10.315</v>
      </c>
      <c r="F561" s="64">
        <f>10.315 * CHOOSE(CONTROL!$C$22, $C$13, 100%, $E$13)</f>
        <v>10.315</v>
      </c>
      <c r="G561" s="64">
        <f>10.3248 * CHOOSE(CONTROL!$C$22, $C$13, 100%, $E$13)</f>
        <v>10.3248</v>
      </c>
      <c r="H561" s="64">
        <f>17.3411* CHOOSE(CONTROL!$C$22, $C$13, 100%, $E$13)</f>
        <v>17.341100000000001</v>
      </c>
      <c r="I561" s="64">
        <f>17.3509 * CHOOSE(CONTROL!$C$22, $C$13, 100%, $E$13)</f>
        <v>17.350899999999999</v>
      </c>
      <c r="J561" s="64">
        <f>10.315 * CHOOSE(CONTROL!$C$22, $C$13, 100%, $E$13)</f>
        <v>10.315</v>
      </c>
      <c r="K561" s="64">
        <f>10.3248 * CHOOSE(CONTROL!$C$22, $C$13, 100%, $E$13)</f>
        <v>10.3248</v>
      </c>
    </row>
    <row r="562" spans="1:11" ht="15">
      <c r="A562" s="13">
        <v>58593</v>
      </c>
      <c r="B562" s="63">
        <f>8.6684 * CHOOSE(CONTROL!$C$22, $C$13, 100%, $E$13)</f>
        <v>8.6684000000000001</v>
      </c>
      <c r="C562" s="63">
        <f>8.6684 * CHOOSE(CONTROL!$C$22, $C$13, 100%, $E$13)</f>
        <v>8.6684000000000001</v>
      </c>
      <c r="D562" s="63">
        <f>8.6765 * CHOOSE(CONTROL!$C$22, $C$13, 100%, $E$13)</f>
        <v>8.6765000000000008</v>
      </c>
      <c r="E562" s="64">
        <f>10.2649 * CHOOSE(CONTROL!$C$22, $C$13, 100%, $E$13)</f>
        <v>10.264900000000001</v>
      </c>
      <c r="F562" s="64">
        <f>10.2649 * CHOOSE(CONTROL!$C$22, $C$13, 100%, $E$13)</f>
        <v>10.264900000000001</v>
      </c>
      <c r="G562" s="64">
        <f>10.2747 * CHOOSE(CONTROL!$C$22, $C$13, 100%, $E$13)</f>
        <v>10.274699999999999</v>
      </c>
      <c r="H562" s="64">
        <f>17.3772* CHOOSE(CONTROL!$C$22, $C$13, 100%, $E$13)</f>
        <v>17.377199999999998</v>
      </c>
      <c r="I562" s="64">
        <f>17.387 * CHOOSE(CONTROL!$C$22, $C$13, 100%, $E$13)</f>
        <v>17.387</v>
      </c>
      <c r="J562" s="64">
        <f>10.2649 * CHOOSE(CONTROL!$C$22, $C$13, 100%, $E$13)</f>
        <v>10.264900000000001</v>
      </c>
      <c r="K562" s="64">
        <f>10.2747 * CHOOSE(CONTROL!$C$22, $C$13, 100%, $E$13)</f>
        <v>10.274699999999999</v>
      </c>
    </row>
    <row r="563" spans="1:11" ht="15">
      <c r="A563" s="13">
        <v>58623</v>
      </c>
      <c r="B563" s="63">
        <f>8.8035 * CHOOSE(CONTROL!$C$22, $C$13, 100%, $E$13)</f>
        <v>8.8034999999999997</v>
      </c>
      <c r="C563" s="63">
        <f>8.8035 * CHOOSE(CONTROL!$C$22, $C$13, 100%, $E$13)</f>
        <v>8.8034999999999997</v>
      </c>
      <c r="D563" s="63">
        <f>8.8116 * CHOOSE(CONTROL!$C$22, $C$13, 100%, $E$13)</f>
        <v>8.8116000000000003</v>
      </c>
      <c r="E563" s="64">
        <f>10.4324 * CHOOSE(CONTROL!$C$22, $C$13, 100%, $E$13)</f>
        <v>10.432399999999999</v>
      </c>
      <c r="F563" s="64">
        <f>10.4324 * CHOOSE(CONTROL!$C$22, $C$13, 100%, $E$13)</f>
        <v>10.432399999999999</v>
      </c>
      <c r="G563" s="64">
        <f>10.4422 * CHOOSE(CONTROL!$C$22, $C$13, 100%, $E$13)</f>
        <v>10.4422</v>
      </c>
      <c r="H563" s="64">
        <f>17.4134* CHOOSE(CONTROL!$C$22, $C$13, 100%, $E$13)</f>
        <v>17.413399999999999</v>
      </c>
      <c r="I563" s="64">
        <f>17.4232 * CHOOSE(CONTROL!$C$22, $C$13, 100%, $E$13)</f>
        <v>17.423200000000001</v>
      </c>
      <c r="J563" s="64">
        <f>10.4324 * CHOOSE(CONTROL!$C$22, $C$13, 100%, $E$13)</f>
        <v>10.432399999999999</v>
      </c>
      <c r="K563" s="64">
        <f>10.4422 * CHOOSE(CONTROL!$C$22, $C$13, 100%, $E$13)</f>
        <v>10.4422</v>
      </c>
    </row>
    <row r="564" spans="1:11" ht="15">
      <c r="A564" s="13">
        <v>58654</v>
      </c>
      <c r="B564" s="63">
        <f>8.8102 * CHOOSE(CONTROL!$C$22, $C$13, 100%, $E$13)</f>
        <v>8.8102</v>
      </c>
      <c r="C564" s="63">
        <f>8.8102 * CHOOSE(CONTROL!$C$22, $C$13, 100%, $E$13)</f>
        <v>8.8102</v>
      </c>
      <c r="D564" s="63">
        <f>8.8183 * CHOOSE(CONTROL!$C$22, $C$13, 100%, $E$13)</f>
        <v>8.8183000000000007</v>
      </c>
      <c r="E564" s="64">
        <f>10.274 * CHOOSE(CONTROL!$C$22, $C$13, 100%, $E$13)</f>
        <v>10.273999999999999</v>
      </c>
      <c r="F564" s="64">
        <f>10.274 * CHOOSE(CONTROL!$C$22, $C$13, 100%, $E$13)</f>
        <v>10.273999999999999</v>
      </c>
      <c r="G564" s="64">
        <f>10.2839 * CHOOSE(CONTROL!$C$22, $C$13, 100%, $E$13)</f>
        <v>10.283899999999999</v>
      </c>
      <c r="H564" s="64">
        <f>17.4497* CHOOSE(CONTROL!$C$22, $C$13, 100%, $E$13)</f>
        <v>17.4497</v>
      </c>
      <c r="I564" s="64">
        <f>17.4595 * CHOOSE(CONTROL!$C$22, $C$13, 100%, $E$13)</f>
        <v>17.459499999999998</v>
      </c>
      <c r="J564" s="64">
        <f>10.274 * CHOOSE(CONTROL!$C$22, $C$13, 100%, $E$13)</f>
        <v>10.273999999999999</v>
      </c>
      <c r="K564" s="64">
        <f>10.2839 * CHOOSE(CONTROL!$C$22, $C$13, 100%, $E$13)</f>
        <v>10.283899999999999</v>
      </c>
    </row>
    <row r="565" spans="1:11" ht="15">
      <c r="A565" s="13">
        <v>58685</v>
      </c>
      <c r="B565" s="63">
        <f>8.8072 * CHOOSE(CONTROL!$C$22, $C$13, 100%, $E$13)</f>
        <v>8.8071999999999999</v>
      </c>
      <c r="C565" s="63">
        <f>8.8072 * CHOOSE(CONTROL!$C$22, $C$13, 100%, $E$13)</f>
        <v>8.8071999999999999</v>
      </c>
      <c r="D565" s="63">
        <f>8.8153 * CHOOSE(CONTROL!$C$22, $C$13, 100%, $E$13)</f>
        <v>8.8153000000000006</v>
      </c>
      <c r="E565" s="64">
        <f>10.2538 * CHOOSE(CONTROL!$C$22, $C$13, 100%, $E$13)</f>
        <v>10.2538</v>
      </c>
      <c r="F565" s="64">
        <f>10.2538 * CHOOSE(CONTROL!$C$22, $C$13, 100%, $E$13)</f>
        <v>10.2538</v>
      </c>
      <c r="G565" s="64">
        <f>10.2636 * CHOOSE(CONTROL!$C$22, $C$13, 100%, $E$13)</f>
        <v>10.2636</v>
      </c>
      <c r="H565" s="64">
        <f>17.486* CHOOSE(CONTROL!$C$22, $C$13, 100%, $E$13)</f>
        <v>17.486000000000001</v>
      </c>
      <c r="I565" s="64">
        <f>17.4959 * CHOOSE(CONTROL!$C$22, $C$13, 100%, $E$13)</f>
        <v>17.495899999999999</v>
      </c>
      <c r="J565" s="64">
        <f>10.2538 * CHOOSE(CONTROL!$C$22, $C$13, 100%, $E$13)</f>
        <v>10.2538</v>
      </c>
      <c r="K565" s="64">
        <f>10.2636 * CHOOSE(CONTROL!$C$22, $C$13, 100%, $E$13)</f>
        <v>10.2636</v>
      </c>
    </row>
    <row r="566" spans="1:11" ht="15">
      <c r="A566" s="13">
        <v>58715</v>
      </c>
      <c r="B566" s="63">
        <f>8.8179 * CHOOSE(CONTROL!$C$22, $C$13, 100%, $E$13)</f>
        <v>8.8178999999999998</v>
      </c>
      <c r="C566" s="63">
        <f>8.8179 * CHOOSE(CONTROL!$C$22, $C$13, 100%, $E$13)</f>
        <v>8.8178999999999998</v>
      </c>
      <c r="D566" s="63">
        <f>8.8179 * CHOOSE(CONTROL!$C$22, $C$13, 100%, $E$13)</f>
        <v>8.8178999999999998</v>
      </c>
      <c r="E566" s="64">
        <f>10.3128 * CHOOSE(CONTROL!$C$22, $C$13, 100%, $E$13)</f>
        <v>10.312799999999999</v>
      </c>
      <c r="F566" s="64">
        <f>10.3128 * CHOOSE(CONTROL!$C$22, $C$13, 100%, $E$13)</f>
        <v>10.312799999999999</v>
      </c>
      <c r="G566" s="64">
        <f>10.3129 * CHOOSE(CONTROL!$C$22, $C$13, 100%, $E$13)</f>
        <v>10.312900000000001</v>
      </c>
      <c r="H566" s="64">
        <f>17.5225* CHOOSE(CONTROL!$C$22, $C$13, 100%, $E$13)</f>
        <v>17.522500000000001</v>
      </c>
      <c r="I566" s="64">
        <f>17.5225 * CHOOSE(CONTROL!$C$22, $C$13, 100%, $E$13)</f>
        <v>17.522500000000001</v>
      </c>
      <c r="J566" s="64">
        <f>10.3128 * CHOOSE(CONTROL!$C$22, $C$13, 100%, $E$13)</f>
        <v>10.312799999999999</v>
      </c>
      <c r="K566" s="64">
        <f>10.3129 * CHOOSE(CONTROL!$C$22, $C$13, 100%, $E$13)</f>
        <v>10.312900000000001</v>
      </c>
    </row>
    <row r="567" spans="1:11" ht="15">
      <c r="A567" s="13">
        <v>58746</v>
      </c>
      <c r="B567" s="63">
        <f>8.821 * CHOOSE(CONTROL!$C$22, $C$13, 100%, $E$13)</f>
        <v>8.8209999999999997</v>
      </c>
      <c r="C567" s="63">
        <f>8.821 * CHOOSE(CONTROL!$C$22, $C$13, 100%, $E$13)</f>
        <v>8.8209999999999997</v>
      </c>
      <c r="D567" s="63">
        <f>8.821 * CHOOSE(CONTROL!$C$22, $C$13, 100%, $E$13)</f>
        <v>8.8209999999999997</v>
      </c>
      <c r="E567" s="64">
        <f>10.3512 * CHOOSE(CONTROL!$C$22, $C$13, 100%, $E$13)</f>
        <v>10.3512</v>
      </c>
      <c r="F567" s="64">
        <f>10.3512 * CHOOSE(CONTROL!$C$22, $C$13, 100%, $E$13)</f>
        <v>10.3512</v>
      </c>
      <c r="G567" s="64">
        <f>10.3513 * CHOOSE(CONTROL!$C$22, $C$13, 100%, $E$13)</f>
        <v>10.3513</v>
      </c>
      <c r="H567" s="64">
        <f>17.559* CHOOSE(CONTROL!$C$22, $C$13, 100%, $E$13)</f>
        <v>17.559000000000001</v>
      </c>
      <c r="I567" s="64">
        <f>17.559 * CHOOSE(CONTROL!$C$22, $C$13, 100%, $E$13)</f>
        <v>17.559000000000001</v>
      </c>
      <c r="J567" s="64">
        <f>10.3512 * CHOOSE(CONTROL!$C$22, $C$13, 100%, $E$13)</f>
        <v>10.3512</v>
      </c>
      <c r="K567" s="64">
        <f>10.3513 * CHOOSE(CONTROL!$C$22, $C$13, 100%, $E$13)</f>
        <v>10.3513</v>
      </c>
    </row>
    <row r="568" spans="1:11" ht="15">
      <c r="A568" s="13">
        <v>58776</v>
      </c>
      <c r="B568" s="63">
        <f>8.821 * CHOOSE(CONTROL!$C$22, $C$13, 100%, $E$13)</f>
        <v>8.8209999999999997</v>
      </c>
      <c r="C568" s="63">
        <f>8.821 * CHOOSE(CONTROL!$C$22, $C$13, 100%, $E$13)</f>
        <v>8.8209999999999997</v>
      </c>
      <c r="D568" s="63">
        <f>8.821 * CHOOSE(CONTROL!$C$22, $C$13, 100%, $E$13)</f>
        <v>8.8209999999999997</v>
      </c>
      <c r="E568" s="64">
        <f>10.2606 * CHOOSE(CONTROL!$C$22, $C$13, 100%, $E$13)</f>
        <v>10.2606</v>
      </c>
      <c r="F568" s="64">
        <f>10.2606 * CHOOSE(CONTROL!$C$22, $C$13, 100%, $E$13)</f>
        <v>10.2606</v>
      </c>
      <c r="G568" s="64">
        <f>10.2607 * CHOOSE(CONTROL!$C$22, $C$13, 100%, $E$13)</f>
        <v>10.2607</v>
      </c>
      <c r="H568" s="64">
        <f>17.5955* CHOOSE(CONTROL!$C$22, $C$13, 100%, $E$13)</f>
        <v>17.595500000000001</v>
      </c>
      <c r="I568" s="64">
        <f>17.5956 * CHOOSE(CONTROL!$C$22, $C$13, 100%, $E$13)</f>
        <v>17.595600000000001</v>
      </c>
      <c r="J568" s="64">
        <f>10.2606 * CHOOSE(CONTROL!$C$22, $C$13, 100%, $E$13)</f>
        <v>10.2606</v>
      </c>
      <c r="K568" s="64">
        <f>10.2607 * CHOOSE(CONTROL!$C$22, $C$13, 100%, $E$13)</f>
        <v>10.2607</v>
      </c>
    </row>
    <row r="569" spans="1:11" ht="15">
      <c r="A569" s="13">
        <v>58807</v>
      </c>
      <c r="B569" s="63">
        <f>8.8962 * CHOOSE(CONTROL!$C$22, $C$13, 100%, $E$13)</f>
        <v>8.8962000000000003</v>
      </c>
      <c r="C569" s="63">
        <f>8.8962 * CHOOSE(CONTROL!$C$22, $C$13, 100%, $E$13)</f>
        <v>8.8962000000000003</v>
      </c>
      <c r="D569" s="63">
        <f>8.8962 * CHOOSE(CONTROL!$C$22, $C$13, 100%, $E$13)</f>
        <v>8.8962000000000003</v>
      </c>
      <c r="E569" s="64">
        <f>10.409 * CHOOSE(CONTROL!$C$22, $C$13, 100%, $E$13)</f>
        <v>10.409000000000001</v>
      </c>
      <c r="F569" s="64">
        <f>10.409 * CHOOSE(CONTROL!$C$22, $C$13, 100%, $E$13)</f>
        <v>10.409000000000001</v>
      </c>
      <c r="G569" s="64">
        <f>10.4091 * CHOOSE(CONTROL!$C$22, $C$13, 100%, $E$13)</f>
        <v>10.4091</v>
      </c>
      <c r="H569" s="64">
        <f>17.6322* CHOOSE(CONTROL!$C$22, $C$13, 100%, $E$13)</f>
        <v>17.632200000000001</v>
      </c>
      <c r="I569" s="64">
        <f>17.6323 * CHOOSE(CONTROL!$C$22, $C$13, 100%, $E$13)</f>
        <v>17.632300000000001</v>
      </c>
      <c r="J569" s="64">
        <f>10.409 * CHOOSE(CONTROL!$C$22, $C$13, 100%, $E$13)</f>
        <v>10.409000000000001</v>
      </c>
      <c r="K569" s="64">
        <f>10.4091 * CHOOSE(CONTROL!$C$22, $C$13, 100%, $E$13)</f>
        <v>10.4091</v>
      </c>
    </row>
    <row r="570" spans="1:11" ht="15">
      <c r="A570" s="13">
        <v>58838</v>
      </c>
      <c r="B570" s="63">
        <f>8.8931 * CHOOSE(CONTROL!$C$22, $C$13, 100%, $E$13)</f>
        <v>8.8931000000000004</v>
      </c>
      <c r="C570" s="63">
        <f>8.8931 * CHOOSE(CONTROL!$C$22, $C$13, 100%, $E$13)</f>
        <v>8.8931000000000004</v>
      </c>
      <c r="D570" s="63">
        <f>8.8931 * CHOOSE(CONTROL!$C$22, $C$13, 100%, $E$13)</f>
        <v>8.8931000000000004</v>
      </c>
      <c r="E570" s="64">
        <f>10.2309 * CHOOSE(CONTROL!$C$22, $C$13, 100%, $E$13)</f>
        <v>10.2309</v>
      </c>
      <c r="F570" s="64">
        <f>10.2309 * CHOOSE(CONTROL!$C$22, $C$13, 100%, $E$13)</f>
        <v>10.2309</v>
      </c>
      <c r="G570" s="64">
        <f>10.231 * CHOOSE(CONTROL!$C$22, $C$13, 100%, $E$13)</f>
        <v>10.231</v>
      </c>
      <c r="H570" s="64">
        <f>17.6689* CHOOSE(CONTROL!$C$22, $C$13, 100%, $E$13)</f>
        <v>17.668900000000001</v>
      </c>
      <c r="I570" s="64">
        <f>17.669 * CHOOSE(CONTROL!$C$22, $C$13, 100%, $E$13)</f>
        <v>17.669</v>
      </c>
      <c r="J570" s="64">
        <f>10.2309 * CHOOSE(CONTROL!$C$22, $C$13, 100%, $E$13)</f>
        <v>10.2309</v>
      </c>
      <c r="K570" s="64">
        <f>10.231 * CHOOSE(CONTROL!$C$22, $C$13, 100%, $E$13)</f>
        <v>10.231</v>
      </c>
    </row>
    <row r="571" spans="1:11" ht="15">
      <c r="A571" s="13">
        <v>58866</v>
      </c>
      <c r="B571" s="63">
        <f>8.8901 * CHOOSE(CONTROL!$C$22, $C$13, 100%, $E$13)</f>
        <v>8.8901000000000003</v>
      </c>
      <c r="C571" s="63">
        <f>8.8901 * CHOOSE(CONTROL!$C$22, $C$13, 100%, $E$13)</f>
        <v>8.8901000000000003</v>
      </c>
      <c r="D571" s="63">
        <f>8.8901 * CHOOSE(CONTROL!$C$22, $C$13, 100%, $E$13)</f>
        <v>8.8901000000000003</v>
      </c>
      <c r="E571" s="64">
        <f>10.3675 * CHOOSE(CONTROL!$C$22, $C$13, 100%, $E$13)</f>
        <v>10.3675</v>
      </c>
      <c r="F571" s="64">
        <f>10.3675 * CHOOSE(CONTROL!$C$22, $C$13, 100%, $E$13)</f>
        <v>10.3675</v>
      </c>
      <c r="G571" s="64">
        <f>10.3676 * CHOOSE(CONTROL!$C$22, $C$13, 100%, $E$13)</f>
        <v>10.367599999999999</v>
      </c>
      <c r="H571" s="64">
        <f>17.7057* CHOOSE(CONTROL!$C$22, $C$13, 100%, $E$13)</f>
        <v>17.7057</v>
      </c>
      <c r="I571" s="64">
        <f>17.7058 * CHOOSE(CONTROL!$C$22, $C$13, 100%, $E$13)</f>
        <v>17.7058</v>
      </c>
      <c r="J571" s="64">
        <f>10.3675 * CHOOSE(CONTROL!$C$22, $C$13, 100%, $E$13)</f>
        <v>10.3675</v>
      </c>
      <c r="K571" s="64">
        <f>10.3676 * CHOOSE(CONTROL!$C$22, $C$13, 100%, $E$13)</f>
        <v>10.367599999999999</v>
      </c>
    </row>
    <row r="572" spans="1:11" ht="15">
      <c r="A572" s="13">
        <v>58897</v>
      </c>
      <c r="B572" s="63">
        <f>8.8919 * CHOOSE(CONTROL!$C$22, $C$13, 100%, $E$13)</f>
        <v>8.8918999999999997</v>
      </c>
      <c r="C572" s="63">
        <f>8.8919 * CHOOSE(CONTROL!$C$22, $C$13, 100%, $E$13)</f>
        <v>8.8918999999999997</v>
      </c>
      <c r="D572" s="63">
        <f>8.8919 * CHOOSE(CONTROL!$C$22, $C$13, 100%, $E$13)</f>
        <v>8.8918999999999997</v>
      </c>
      <c r="E572" s="64">
        <f>10.5123 * CHOOSE(CONTROL!$C$22, $C$13, 100%, $E$13)</f>
        <v>10.5123</v>
      </c>
      <c r="F572" s="64">
        <f>10.5123 * CHOOSE(CONTROL!$C$22, $C$13, 100%, $E$13)</f>
        <v>10.5123</v>
      </c>
      <c r="G572" s="64">
        <f>10.5124 * CHOOSE(CONTROL!$C$22, $C$13, 100%, $E$13)</f>
        <v>10.5124</v>
      </c>
      <c r="H572" s="64">
        <f>17.7426* CHOOSE(CONTROL!$C$22, $C$13, 100%, $E$13)</f>
        <v>17.742599999999999</v>
      </c>
      <c r="I572" s="64">
        <f>17.7427 * CHOOSE(CONTROL!$C$22, $C$13, 100%, $E$13)</f>
        <v>17.742699999999999</v>
      </c>
      <c r="J572" s="64">
        <f>10.5123 * CHOOSE(CONTROL!$C$22, $C$13, 100%, $E$13)</f>
        <v>10.5123</v>
      </c>
      <c r="K572" s="64">
        <f>10.5124 * CHOOSE(CONTROL!$C$22, $C$13, 100%, $E$13)</f>
        <v>10.5124</v>
      </c>
    </row>
    <row r="573" spans="1:11" ht="15">
      <c r="A573" s="13">
        <v>58927</v>
      </c>
      <c r="B573" s="63">
        <f>8.8919 * CHOOSE(CONTROL!$C$22, $C$13, 100%, $E$13)</f>
        <v>8.8918999999999997</v>
      </c>
      <c r="C573" s="63">
        <f>8.8919 * CHOOSE(CONTROL!$C$22, $C$13, 100%, $E$13)</f>
        <v>8.8918999999999997</v>
      </c>
      <c r="D573" s="63">
        <f>8.9 * CHOOSE(CONTROL!$C$22, $C$13, 100%, $E$13)</f>
        <v>8.9</v>
      </c>
      <c r="E573" s="64">
        <f>10.5681 * CHOOSE(CONTROL!$C$22, $C$13, 100%, $E$13)</f>
        <v>10.568099999999999</v>
      </c>
      <c r="F573" s="64">
        <f>10.5681 * CHOOSE(CONTROL!$C$22, $C$13, 100%, $E$13)</f>
        <v>10.568099999999999</v>
      </c>
      <c r="G573" s="64">
        <f>10.578 * CHOOSE(CONTROL!$C$22, $C$13, 100%, $E$13)</f>
        <v>10.577999999999999</v>
      </c>
      <c r="H573" s="64">
        <f>17.7796* CHOOSE(CONTROL!$C$22, $C$13, 100%, $E$13)</f>
        <v>17.779599999999999</v>
      </c>
      <c r="I573" s="64">
        <f>17.7894 * CHOOSE(CONTROL!$C$22, $C$13, 100%, $E$13)</f>
        <v>17.789400000000001</v>
      </c>
      <c r="J573" s="64">
        <f>10.5681 * CHOOSE(CONTROL!$C$22, $C$13, 100%, $E$13)</f>
        <v>10.568099999999999</v>
      </c>
      <c r="K573" s="64">
        <f>10.578 * CHOOSE(CONTROL!$C$22, $C$13, 100%, $E$13)</f>
        <v>10.577999999999999</v>
      </c>
    </row>
    <row r="574" spans="1:11" ht="15">
      <c r="A574" s="13">
        <v>58958</v>
      </c>
      <c r="B574" s="63">
        <f>8.898 * CHOOSE(CONTROL!$C$22, $C$13, 100%, $E$13)</f>
        <v>8.8979999999999997</v>
      </c>
      <c r="C574" s="63">
        <f>8.898 * CHOOSE(CONTROL!$C$22, $C$13, 100%, $E$13)</f>
        <v>8.8979999999999997</v>
      </c>
      <c r="D574" s="63">
        <f>8.9061 * CHOOSE(CONTROL!$C$22, $C$13, 100%, $E$13)</f>
        <v>8.9061000000000003</v>
      </c>
      <c r="E574" s="64">
        <f>10.5165 * CHOOSE(CONTROL!$C$22, $C$13, 100%, $E$13)</f>
        <v>10.516500000000001</v>
      </c>
      <c r="F574" s="64">
        <f>10.5165 * CHOOSE(CONTROL!$C$22, $C$13, 100%, $E$13)</f>
        <v>10.516500000000001</v>
      </c>
      <c r="G574" s="64">
        <f>10.5263 * CHOOSE(CONTROL!$C$22, $C$13, 100%, $E$13)</f>
        <v>10.526300000000001</v>
      </c>
      <c r="H574" s="64">
        <f>17.8166* CHOOSE(CONTROL!$C$22, $C$13, 100%, $E$13)</f>
        <v>17.816600000000001</v>
      </c>
      <c r="I574" s="64">
        <f>17.8265 * CHOOSE(CONTROL!$C$22, $C$13, 100%, $E$13)</f>
        <v>17.826499999999999</v>
      </c>
      <c r="J574" s="64">
        <f>10.5165 * CHOOSE(CONTROL!$C$22, $C$13, 100%, $E$13)</f>
        <v>10.516500000000001</v>
      </c>
      <c r="K574" s="64">
        <f>10.5263 * CHOOSE(CONTROL!$C$22, $C$13, 100%, $E$13)</f>
        <v>10.526300000000001</v>
      </c>
    </row>
    <row r="575" spans="1:11" ht="15">
      <c r="A575" s="13">
        <v>58988</v>
      </c>
      <c r="B575" s="63">
        <f>9.0365 * CHOOSE(CONTROL!$C$22, $C$13, 100%, $E$13)</f>
        <v>9.0365000000000002</v>
      </c>
      <c r="C575" s="63">
        <f>9.0365 * CHOOSE(CONTROL!$C$22, $C$13, 100%, $E$13)</f>
        <v>9.0365000000000002</v>
      </c>
      <c r="D575" s="63">
        <f>9.0446 * CHOOSE(CONTROL!$C$22, $C$13, 100%, $E$13)</f>
        <v>9.0446000000000009</v>
      </c>
      <c r="E575" s="64">
        <f>10.6879 * CHOOSE(CONTROL!$C$22, $C$13, 100%, $E$13)</f>
        <v>10.687900000000001</v>
      </c>
      <c r="F575" s="64">
        <f>10.6879 * CHOOSE(CONTROL!$C$22, $C$13, 100%, $E$13)</f>
        <v>10.687900000000001</v>
      </c>
      <c r="G575" s="64">
        <f>10.6977 * CHOOSE(CONTROL!$C$22, $C$13, 100%, $E$13)</f>
        <v>10.697699999999999</v>
      </c>
      <c r="H575" s="64">
        <f>17.8538* CHOOSE(CONTROL!$C$22, $C$13, 100%, $E$13)</f>
        <v>17.8538</v>
      </c>
      <c r="I575" s="64">
        <f>17.8636 * CHOOSE(CONTROL!$C$22, $C$13, 100%, $E$13)</f>
        <v>17.863600000000002</v>
      </c>
      <c r="J575" s="64">
        <f>10.6879 * CHOOSE(CONTROL!$C$22, $C$13, 100%, $E$13)</f>
        <v>10.687900000000001</v>
      </c>
      <c r="K575" s="64">
        <f>10.6977 * CHOOSE(CONTROL!$C$22, $C$13, 100%, $E$13)</f>
        <v>10.697699999999999</v>
      </c>
    </row>
    <row r="576" spans="1:11" ht="15">
      <c r="A576" s="13">
        <v>59019</v>
      </c>
      <c r="B576" s="63">
        <f>9.0432 * CHOOSE(CONTROL!$C$22, $C$13, 100%, $E$13)</f>
        <v>9.0432000000000006</v>
      </c>
      <c r="C576" s="63">
        <f>9.0432 * CHOOSE(CONTROL!$C$22, $C$13, 100%, $E$13)</f>
        <v>9.0432000000000006</v>
      </c>
      <c r="D576" s="63">
        <f>9.0513 * CHOOSE(CONTROL!$C$22, $C$13, 100%, $E$13)</f>
        <v>9.0512999999999995</v>
      </c>
      <c r="E576" s="64">
        <f>10.5249 * CHOOSE(CONTROL!$C$22, $C$13, 100%, $E$13)</f>
        <v>10.524900000000001</v>
      </c>
      <c r="F576" s="64">
        <f>10.5249 * CHOOSE(CONTROL!$C$22, $C$13, 100%, $E$13)</f>
        <v>10.524900000000001</v>
      </c>
      <c r="G576" s="64">
        <f>10.5348 * CHOOSE(CONTROL!$C$22, $C$13, 100%, $E$13)</f>
        <v>10.534800000000001</v>
      </c>
      <c r="H576" s="64">
        <f>17.8909* CHOOSE(CONTROL!$C$22, $C$13, 100%, $E$13)</f>
        <v>17.890899999999998</v>
      </c>
      <c r="I576" s="64">
        <f>17.9008 * CHOOSE(CONTROL!$C$22, $C$13, 100%, $E$13)</f>
        <v>17.9008</v>
      </c>
      <c r="J576" s="64">
        <f>10.5249 * CHOOSE(CONTROL!$C$22, $C$13, 100%, $E$13)</f>
        <v>10.524900000000001</v>
      </c>
      <c r="K576" s="64">
        <f>10.5348 * CHOOSE(CONTROL!$C$22, $C$13, 100%, $E$13)</f>
        <v>10.534800000000001</v>
      </c>
    </row>
    <row r="577" spans="1:11" ht="15">
      <c r="A577" s="13">
        <v>59050</v>
      </c>
      <c r="B577" s="63">
        <f>9.0401 * CHOOSE(CONTROL!$C$22, $C$13, 100%, $E$13)</f>
        <v>9.0401000000000007</v>
      </c>
      <c r="C577" s="63">
        <f>9.0401 * CHOOSE(CONTROL!$C$22, $C$13, 100%, $E$13)</f>
        <v>9.0401000000000007</v>
      </c>
      <c r="D577" s="63">
        <f>9.0482 * CHOOSE(CONTROL!$C$22, $C$13, 100%, $E$13)</f>
        <v>9.0481999999999996</v>
      </c>
      <c r="E577" s="64">
        <f>10.5042 * CHOOSE(CONTROL!$C$22, $C$13, 100%, $E$13)</f>
        <v>10.504200000000001</v>
      </c>
      <c r="F577" s="64">
        <f>10.5042 * CHOOSE(CONTROL!$C$22, $C$13, 100%, $E$13)</f>
        <v>10.504200000000001</v>
      </c>
      <c r="G577" s="64">
        <f>10.514 * CHOOSE(CONTROL!$C$22, $C$13, 100%, $E$13)</f>
        <v>10.513999999999999</v>
      </c>
      <c r="H577" s="64">
        <f>17.9282* CHOOSE(CONTROL!$C$22, $C$13, 100%, $E$13)</f>
        <v>17.9282</v>
      </c>
      <c r="I577" s="64">
        <f>17.9381 * CHOOSE(CONTROL!$C$22, $C$13, 100%, $E$13)</f>
        <v>17.938099999999999</v>
      </c>
      <c r="J577" s="64">
        <f>10.5042 * CHOOSE(CONTROL!$C$22, $C$13, 100%, $E$13)</f>
        <v>10.504200000000001</v>
      </c>
      <c r="K577" s="64">
        <f>10.514 * CHOOSE(CONTROL!$C$22, $C$13, 100%, $E$13)</f>
        <v>10.513999999999999</v>
      </c>
    </row>
    <row r="578" spans="1:11" ht="15">
      <c r="A578" s="13">
        <v>59080</v>
      </c>
      <c r="B578" s="63">
        <f>9.0516 * CHOOSE(CONTROL!$C$22, $C$13, 100%, $E$13)</f>
        <v>9.0516000000000005</v>
      </c>
      <c r="C578" s="63">
        <f>9.0516 * CHOOSE(CONTROL!$C$22, $C$13, 100%, $E$13)</f>
        <v>9.0516000000000005</v>
      </c>
      <c r="D578" s="63">
        <f>9.0516 * CHOOSE(CONTROL!$C$22, $C$13, 100%, $E$13)</f>
        <v>9.0516000000000005</v>
      </c>
      <c r="E578" s="64">
        <f>10.5653 * CHOOSE(CONTROL!$C$22, $C$13, 100%, $E$13)</f>
        <v>10.565300000000001</v>
      </c>
      <c r="F578" s="64">
        <f>10.5653 * CHOOSE(CONTROL!$C$22, $C$13, 100%, $E$13)</f>
        <v>10.565300000000001</v>
      </c>
      <c r="G578" s="64">
        <f>10.5653 * CHOOSE(CONTROL!$C$22, $C$13, 100%, $E$13)</f>
        <v>10.565300000000001</v>
      </c>
      <c r="H578" s="64">
        <f>17.9656* CHOOSE(CONTROL!$C$22, $C$13, 100%, $E$13)</f>
        <v>17.965599999999998</v>
      </c>
      <c r="I578" s="64">
        <f>17.9657 * CHOOSE(CONTROL!$C$22, $C$13, 100%, $E$13)</f>
        <v>17.965699999999998</v>
      </c>
      <c r="J578" s="64">
        <f>10.5653 * CHOOSE(CONTROL!$C$22, $C$13, 100%, $E$13)</f>
        <v>10.565300000000001</v>
      </c>
      <c r="K578" s="64">
        <f>10.5653 * CHOOSE(CONTROL!$C$22, $C$13, 100%, $E$13)</f>
        <v>10.565300000000001</v>
      </c>
    </row>
    <row r="579" spans="1:11" ht="15">
      <c r="A579" s="13">
        <v>59111</v>
      </c>
      <c r="B579" s="63">
        <f>9.0547 * CHOOSE(CONTROL!$C$22, $C$13, 100%, $E$13)</f>
        <v>9.0547000000000004</v>
      </c>
      <c r="C579" s="63">
        <f>9.0547 * CHOOSE(CONTROL!$C$22, $C$13, 100%, $E$13)</f>
        <v>9.0547000000000004</v>
      </c>
      <c r="D579" s="63">
        <f>9.0547 * CHOOSE(CONTROL!$C$22, $C$13, 100%, $E$13)</f>
        <v>9.0547000000000004</v>
      </c>
      <c r="E579" s="64">
        <f>10.6046 * CHOOSE(CONTROL!$C$22, $C$13, 100%, $E$13)</f>
        <v>10.6046</v>
      </c>
      <c r="F579" s="64">
        <f>10.6046 * CHOOSE(CONTROL!$C$22, $C$13, 100%, $E$13)</f>
        <v>10.6046</v>
      </c>
      <c r="G579" s="64">
        <f>10.6047 * CHOOSE(CONTROL!$C$22, $C$13, 100%, $E$13)</f>
        <v>10.604699999999999</v>
      </c>
      <c r="H579" s="64">
        <f>18.003* CHOOSE(CONTROL!$C$22, $C$13, 100%, $E$13)</f>
        <v>18.003</v>
      </c>
      <c r="I579" s="64">
        <f>18.0031 * CHOOSE(CONTROL!$C$22, $C$13, 100%, $E$13)</f>
        <v>18.0031</v>
      </c>
      <c r="J579" s="64">
        <f>10.6046 * CHOOSE(CONTROL!$C$22, $C$13, 100%, $E$13)</f>
        <v>10.6046</v>
      </c>
      <c r="K579" s="64">
        <f>10.6047 * CHOOSE(CONTROL!$C$22, $C$13, 100%, $E$13)</f>
        <v>10.604699999999999</v>
      </c>
    </row>
    <row r="580" spans="1:11" ht="15">
      <c r="A580" s="13">
        <v>59141</v>
      </c>
      <c r="B580" s="63">
        <f>9.0547 * CHOOSE(CONTROL!$C$22, $C$13, 100%, $E$13)</f>
        <v>9.0547000000000004</v>
      </c>
      <c r="C580" s="63">
        <f>9.0547 * CHOOSE(CONTROL!$C$22, $C$13, 100%, $E$13)</f>
        <v>9.0547000000000004</v>
      </c>
      <c r="D580" s="63">
        <f>9.0547 * CHOOSE(CONTROL!$C$22, $C$13, 100%, $E$13)</f>
        <v>9.0547000000000004</v>
      </c>
      <c r="E580" s="64">
        <f>10.5115 * CHOOSE(CONTROL!$C$22, $C$13, 100%, $E$13)</f>
        <v>10.5115</v>
      </c>
      <c r="F580" s="64">
        <f>10.5115 * CHOOSE(CONTROL!$C$22, $C$13, 100%, $E$13)</f>
        <v>10.5115</v>
      </c>
      <c r="G580" s="64">
        <f>10.5116 * CHOOSE(CONTROL!$C$22, $C$13, 100%, $E$13)</f>
        <v>10.5116</v>
      </c>
      <c r="H580" s="64">
        <f>18.0405* CHOOSE(CONTROL!$C$22, $C$13, 100%, $E$13)</f>
        <v>18.040500000000002</v>
      </c>
      <c r="I580" s="64">
        <f>18.0406 * CHOOSE(CONTROL!$C$22, $C$13, 100%, $E$13)</f>
        <v>18.040600000000001</v>
      </c>
      <c r="J580" s="64">
        <f>10.5115 * CHOOSE(CONTROL!$C$22, $C$13, 100%, $E$13)</f>
        <v>10.5115</v>
      </c>
      <c r="K580" s="64">
        <f>10.5116 * CHOOSE(CONTROL!$C$22, $C$13, 100%, $E$13)</f>
        <v>10.5116</v>
      </c>
    </row>
    <row r="581" spans="1:11" ht="15">
      <c r="A581" s="13">
        <v>59172</v>
      </c>
      <c r="B581" s="63">
        <f>9.1318 * CHOOSE(CONTROL!$C$22, $C$13, 100%, $E$13)</f>
        <v>9.1318000000000001</v>
      </c>
      <c r="C581" s="63">
        <f>9.1318 * CHOOSE(CONTROL!$C$22, $C$13, 100%, $E$13)</f>
        <v>9.1318000000000001</v>
      </c>
      <c r="D581" s="63">
        <f>9.1318 * CHOOSE(CONTROL!$C$22, $C$13, 100%, $E$13)</f>
        <v>9.1318000000000001</v>
      </c>
      <c r="E581" s="64">
        <f>10.6637 * CHOOSE(CONTROL!$C$22, $C$13, 100%, $E$13)</f>
        <v>10.6637</v>
      </c>
      <c r="F581" s="64">
        <f>10.6637 * CHOOSE(CONTROL!$C$22, $C$13, 100%, $E$13)</f>
        <v>10.6637</v>
      </c>
      <c r="G581" s="64">
        <f>10.6638 * CHOOSE(CONTROL!$C$22, $C$13, 100%, $E$13)</f>
        <v>10.6638</v>
      </c>
      <c r="H581" s="64">
        <f>18.0781* CHOOSE(CONTROL!$C$22, $C$13, 100%, $E$13)</f>
        <v>18.078099999999999</v>
      </c>
      <c r="I581" s="64">
        <f>18.0782 * CHOOSE(CONTROL!$C$22, $C$13, 100%, $E$13)</f>
        <v>18.078199999999999</v>
      </c>
      <c r="J581" s="64">
        <f>10.6637 * CHOOSE(CONTROL!$C$22, $C$13, 100%, $E$13)</f>
        <v>10.6637</v>
      </c>
      <c r="K581" s="64">
        <f>10.6638 * CHOOSE(CONTROL!$C$22, $C$13, 100%, $E$13)</f>
        <v>10.6638</v>
      </c>
    </row>
    <row r="582" spans="1:11" ht="15">
      <c r="A582" s="13">
        <v>59203</v>
      </c>
      <c r="B582" s="63">
        <f>9.1287 * CHOOSE(CONTROL!$C$22, $C$13, 100%, $E$13)</f>
        <v>9.1287000000000003</v>
      </c>
      <c r="C582" s="63">
        <f>9.1287 * CHOOSE(CONTROL!$C$22, $C$13, 100%, $E$13)</f>
        <v>9.1287000000000003</v>
      </c>
      <c r="D582" s="63">
        <f>9.1287 * CHOOSE(CONTROL!$C$22, $C$13, 100%, $E$13)</f>
        <v>9.1287000000000003</v>
      </c>
      <c r="E582" s="64">
        <f>10.4807 * CHOOSE(CONTROL!$C$22, $C$13, 100%, $E$13)</f>
        <v>10.480700000000001</v>
      </c>
      <c r="F582" s="64">
        <f>10.4807 * CHOOSE(CONTROL!$C$22, $C$13, 100%, $E$13)</f>
        <v>10.480700000000001</v>
      </c>
      <c r="G582" s="64">
        <f>10.4808 * CHOOSE(CONTROL!$C$22, $C$13, 100%, $E$13)</f>
        <v>10.4808</v>
      </c>
      <c r="H582" s="64">
        <f>18.1158* CHOOSE(CONTROL!$C$22, $C$13, 100%, $E$13)</f>
        <v>18.1158</v>
      </c>
      <c r="I582" s="64">
        <f>18.1158 * CHOOSE(CONTROL!$C$22, $C$13, 100%, $E$13)</f>
        <v>18.1158</v>
      </c>
      <c r="J582" s="64">
        <f>10.4807 * CHOOSE(CONTROL!$C$22, $C$13, 100%, $E$13)</f>
        <v>10.480700000000001</v>
      </c>
      <c r="K582" s="64">
        <f>10.4808 * CHOOSE(CONTROL!$C$22, $C$13, 100%, $E$13)</f>
        <v>10.4808</v>
      </c>
    </row>
    <row r="583" spans="1:11" ht="15">
      <c r="A583" s="13">
        <v>59231</v>
      </c>
      <c r="B583" s="63">
        <f>9.1257 * CHOOSE(CONTROL!$C$22, $C$13, 100%, $E$13)</f>
        <v>9.1257000000000001</v>
      </c>
      <c r="C583" s="63">
        <f>9.1257 * CHOOSE(CONTROL!$C$22, $C$13, 100%, $E$13)</f>
        <v>9.1257000000000001</v>
      </c>
      <c r="D583" s="63">
        <f>9.1257 * CHOOSE(CONTROL!$C$22, $C$13, 100%, $E$13)</f>
        <v>9.1257000000000001</v>
      </c>
      <c r="E583" s="64">
        <f>10.6212 * CHOOSE(CONTROL!$C$22, $C$13, 100%, $E$13)</f>
        <v>10.6212</v>
      </c>
      <c r="F583" s="64">
        <f>10.6212 * CHOOSE(CONTROL!$C$22, $C$13, 100%, $E$13)</f>
        <v>10.6212</v>
      </c>
      <c r="G583" s="64">
        <f>10.6213 * CHOOSE(CONTROL!$C$22, $C$13, 100%, $E$13)</f>
        <v>10.6213</v>
      </c>
      <c r="H583" s="64">
        <f>18.1535* CHOOSE(CONTROL!$C$22, $C$13, 100%, $E$13)</f>
        <v>18.153500000000001</v>
      </c>
      <c r="I583" s="64">
        <f>18.1536 * CHOOSE(CONTROL!$C$22, $C$13, 100%, $E$13)</f>
        <v>18.153600000000001</v>
      </c>
      <c r="J583" s="64">
        <f>10.6212 * CHOOSE(CONTROL!$C$22, $C$13, 100%, $E$13)</f>
        <v>10.6212</v>
      </c>
      <c r="K583" s="64">
        <f>10.6213 * CHOOSE(CONTROL!$C$22, $C$13, 100%, $E$13)</f>
        <v>10.6213</v>
      </c>
    </row>
    <row r="584" spans="1:11" ht="15">
      <c r="A584" s="13">
        <v>59262</v>
      </c>
      <c r="B584" s="63">
        <f>9.1277 * CHOOSE(CONTROL!$C$22, $C$13, 100%, $E$13)</f>
        <v>9.1277000000000008</v>
      </c>
      <c r="C584" s="63">
        <f>9.1277 * CHOOSE(CONTROL!$C$22, $C$13, 100%, $E$13)</f>
        <v>9.1277000000000008</v>
      </c>
      <c r="D584" s="63">
        <f>9.1277 * CHOOSE(CONTROL!$C$22, $C$13, 100%, $E$13)</f>
        <v>9.1277000000000008</v>
      </c>
      <c r="E584" s="64">
        <f>10.7701 * CHOOSE(CONTROL!$C$22, $C$13, 100%, $E$13)</f>
        <v>10.770099999999999</v>
      </c>
      <c r="F584" s="64">
        <f>10.7701 * CHOOSE(CONTROL!$C$22, $C$13, 100%, $E$13)</f>
        <v>10.770099999999999</v>
      </c>
      <c r="G584" s="64">
        <f>10.7702 * CHOOSE(CONTROL!$C$22, $C$13, 100%, $E$13)</f>
        <v>10.770200000000001</v>
      </c>
      <c r="H584" s="64">
        <f>18.1913* CHOOSE(CONTROL!$C$22, $C$13, 100%, $E$13)</f>
        <v>18.191299999999998</v>
      </c>
      <c r="I584" s="64">
        <f>18.1914 * CHOOSE(CONTROL!$C$22, $C$13, 100%, $E$13)</f>
        <v>18.191400000000002</v>
      </c>
      <c r="J584" s="64">
        <f>10.7701 * CHOOSE(CONTROL!$C$22, $C$13, 100%, $E$13)</f>
        <v>10.770099999999999</v>
      </c>
      <c r="K584" s="64">
        <f>10.7702 * CHOOSE(CONTROL!$C$22, $C$13, 100%, $E$13)</f>
        <v>10.770200000000001</v>
      </c>
    </row>
    <row r="585" spans="1:11" ht="15">
      <c r="A585" s="13">
        <v>59292</v>
      </c>
      <c r="B585" s="63">
        <f>9.1277 * CHOOSE(CONTROL!$C$22, $C$13, 100%, $E$13)</f>
        <v>9.1277000000000008</v>
      </c>
      <c r="C585" s="63">
        <f>9.1277 * CHOOSE(CONTROL!$C$22, $C$13, 100%, $E$13)</f>
        <v>9.1277000000000008</v>
      </c>
      <c r="D585" s="63">
        <f>9.1358 * CHOOSE(CONTROL!$C$22, $C$13, 100%, $E$13)</f>
        <v>9.1357999999999997</v>
      </c>
      <c r="E585" s="64">
        <f>10.8276 * CHOOSE(CONTROL!$C$22, $C$13, 100%, $E$13)</f>
        <v>10.8276</v>
      </c>
      <c r="F585" s="64">
        <f>10.8276 * CHOOSE(CONTROL!$C$22, $C$13, 100%, $E$13)</f>
        <v>10.8276</v>
      </c>
      <c r="G585" s="64">
        <f>10.8374 * CHOOSE(CONTROL!$C$22, $C$13, 100%, $E$13)</f>
        <v>10.837400000000001</v>
      </c>
      <c r="H585" s="64">
        <f>18.2292* CHOOSE(CONTROL!$C$22, $C$13, 100%, $E$13)</f>
        <v>18.229199999999999</v>
      </c>
      <c r="I585" s="64">
        <f>18.239 * CHOOSE(CONTROL!$C$22, $C$13, 100%, $E$13)</f>
        <v>18.239000000000001</v>
      </c>
      <c r="J585" s="64">
        <f>10.8276 * CHOOSE(CONTROL!$C$22, $C$13, 100%, $E$13)</f>
        <v>10.8276</v>
      </c>
      <c r="K585" s="64">
        <f>10.8374 * CHOOSE(CONTROL!$C$22, $C$13, 100%, $E$13)</f>
        <v>10.837400000000001</v>
      </c>
    </row>
    <row r="586" spans="1:11" ht="15">
      <c r="A586" s="13">
        <v>59323</v>
      </c>
      <c r="B586" s="63">
        <f>9.1337 * CHOOSE(CONTROL!$C$22, $C$13, 100%, $E$13)</f>
        <v>9.1336999999999993</v>
      </c>
      <c r="C586" s="63">
        <f>9.1337 * CHOOSE(CONTROL!$C$22, $C$13, 100%, $E$13)</f>
        <v>9.1336999999999993</v>
      </c>
      <c r="D586" s="63">
        <f>9.1419 * CHOOSE(CONTROL!$C$22, $C$13, 100%, $E$13)</f>
        <v>9.1418999999999997</v>
      </c>
      <c r="E586" s="64">
        <f>10.7744 * CHOOSE(CONTROL!$C$22, $C$13, 100%, $E$13)</f>
        <v>10.7744</v>
      </c>
      <c r="F586" s="64">
        <f>10.7744 * CHOOSE(CONTROL!$C$22, $C$13, 100%, $E$13)</f>
        <v>10.7744</v>
      </c>
      <c r="G586" s="64">
        <f>10.7842 * CHOOSE(CONTROL!$C$22, $C$13, 100%, $E$13)</f>
        <v>10.7842</v>
      </c>
      <c r="H586" s="64">
        <f>18.2672* CHOOSE(CONTROL!$C$22, $C$13, 100%, $E$13)</f>
        <v>18.267199999999999</v>
      </c>
      <c r="I586" s="64">
        <f>18.277 * CHOOSE(CONTROL!$C$22, $C$13, 100%, $E$13)</f>
        <v>18.277000000000001</v>
      </c>
      <c r="J586" s="64">
        <f>10.7744 * CHOOSE(CONTROL!$C$22, $C$13, 100%, $E$13)</f>
        <v>10.7744</v>
      </c>
      <c r="K586" s="64">
        <f>10.7842 * CHOOSE(CONTROL!$C$22, $C$13, 100%, $E$13)</f>
        <v>10.7842</v>
      </c>
    </row>
    <row r="587" spans="1:11" ht="15">
      <c r="A587" s="13">
        <v>59353</v>
      </c>
      <c r="B587" s="63">
        <f>9.2757 * CHOOSE(CONTROL!$C$22, $C$13, 100%, $E$13)</f>
        <v>9.2757000000000005</v>
      </c>
      <c r="C587" s="63">
        <f>9.2757 * CHOOSE(CONTROL!$C$22, $C$13, 100%, $E$13)</f>
        <v>9.2757000000000005</v>
      </c>
      <c r="D587" s="63">
        <f>9.2838 * CHOOSE(CONTROL!$C$22, $C$13, 100%, $E$13)</f>
        <v>9.2837999999999994</v>
      </c>
      <c r="E587" s="64">
        <f>10.9496 * CHOOSE(CONTROL!$C$22, $C$13, 100%, $E$13)</f>
        <v>10.9496</v>
      </c>
      <c r="F587" s="64">
        <f>10.9496 * CHOOSE(CONTROL!$C$22, $C$13, 100%, $E$13)</f>
        <v>10.9496</v>
      </c>
      <c r="G587" s="64">
        <f>10.9595 * CHOOSE(CONTROL!$C$22, $C$13, 100%, $E$13)</f>
        <v>10.9595</v>
      </c>
      <c r="H587" s="64">
        <f>18.3052* CHOOSE(CONTROL!$C$22, $C$13, 100%, $E$13)</f>
        <v>18.305199999999999</v>
      </c>
      <c r="I587" s="64">
        <f>18.3151 * CHOOSE(CONTROL!$C$22, $C$13, 100%, $E$13)</f>
        <v>18.315100000000001</v>
      </c>
      <c r="J587" s="64">
        <f>10.9496 * CHOOSE(CONTROL!$C$22, $C$13, 100%, $E$13)</f>
        <v>10.9496</v>
      </c>
      <c r="K587" s="64">
        <f>10.9595 * CHOOSE(CONTROL!$C$22, $C$13, 100%, $E$13)</f>
        <v>10.9595</v>
      </c>
    </row>
    <row r="588" spans="1:11" ht="15">
      <c r="A588" s="13">
        <v>59384</v>
      </c>
      <c r="B588" s="63">
        <f>9.2823 * CHOOSE(CONTROL!$C$22, $C$13, 100%, $E$13)</f>
        <v>9.2822999999999993</v>
      </c>
      <c r="C588" s="63">
        <f>9.2823 * CHOOSE(CONTROL!$C$22, $C$13, 100%, $E$13)</f>
        <v>9.2822999999999993</v>
      </c>
      <c r="D588" s="63">
        <f>9.2905 * CHOOSE(CONTROL!$C$22, $C$13, 100%, $E$13)</f>
        <v>9.2904999999999998</v>
      </c>
      <c r="E588" s="64">
        <f>10.782 * CHOOSE(CONTROL!$C$22, $C$13, 100%, $E$13)</f>
        <v>10.782</v>
      </c>
      <c r="F588" s="64">
        <f>10.782 * CHOOSE(CONTROL!$C$22, $C$13, 100%, $E$13)</f>
        <v>10.782</v>
      </c>
      <c r="G588" s="64">
        <f>10.7918 * CHOOSE(CONTROL!$C$22, $C$13, 100%, $E$13)</f>
        <v>10.7918</v>
      </c>
      <c r="H588" s="64">
        <f>18.3434* CHOOSE(CONTROL!$C$22, $C$13, 100%, $E$13)</f>
        <v>18.343399999999999</v>
      </c>
      <c r="I588" s="64">
        <f>18.3532 * CHOOSE(CONTROL!$C$22, $C$13, 100%, $E$13)</f>
        <v>18.353200000000001</v>
      </c>
      <c r="J588" s="64">
        <f>10.782 * CHOOSE(CONTROL!$C$22, $C$13, 100%, $E$13)</f>
        <v>10.782</v>
      </c>
      <c r="K588" s="64">
        <f>10.7918 * CHOOSE(CONTROL!$C$22, $C$13, 100%, $E$13)</f>
        <v>10.7918</v>
      </c>
    </row>
    <row r="589" spans="1:11" ht="15">
      <c r="A589" s="13">
        <v>59415</v>
      </c>
      <c r="B589" s="63">
        <f>9.2793 * CHOOSE(CONTROL!$C$22, $C$13, 100%, $E$13)</f>
        <v>9.2792999999999992</v>
      </c>
      <c r="C589" s="63">
        <f>9.2793 * CHOOSE(CONTROL!$C$22, $C$13, 100%, $E$13)</f>
        <v>9.2792999999999992</v>
      </c>
      <c r="D589" s="63">
        <f>9.2874 * CHOOSE(CONTROL!$C$22, $C$13, 100%, $E$13)</f>
        <v>9.2873999999999999</v>
      </c>
      <c r="E589" s="64">
        <f>10.7607 * CHOOSE(CONTROL!$C$22, $C$13, 100%, $E$13)</f>
        <v>10.7607</v>
      </c>
      <c r="F589" s="64">
        <f>10.7607 * CHOOSE(CONTROL!$C$22, $C$13, 100%, $E$13)</f>
        <v>10.7607</v>
      </c>
      <c r="G589" s="64">
        <f>10.7706 * CHOOSE(CONTROL!$C$22, $C$13, 100%, $E$13)</f>
        <v>10.7706</v>
      </c>
      <c r="H589" s="64">
        <f>18.3816* CHOOSE(CONTROL!$C$22, $C$13, 100%, $E$13)</f>
        <v>18.381599999999999</v>
      </c>
      <c r="I589" s="64">
        <f>18.3914 * CHOOSE(CONTROL!$C$22, $C$13, 100%, $E$13)</f>
        <v>18.391400000000001</v>
      </c>
      <c r="J589" s="64">
        <f>10.7607 * CHOOSE(CONTROL!$C$22, $C$13, 100%, $E$13)</f>
        <v>10.7607</v>
      </c>
      <c r="K589" s="64">
        <f>10.7706 * CHOOSE(CONTROL!$C$22, $C$13, 100%, $E$13)</f>
        <v>10.7706</v>
      </c>
    </row>
    <row r="590" spans="1:11" ht="15">
      <c r="A590" s="13">
        <v>59445</v>
      </c>
      <c r="B590" s="63">
        <f>9.2916 * CHOOSE(CONTROL!$C$22, $C$13, 100%, $E$13)</f>
        <v>9.2916000000000007</v>
      </c>
      <c r="C590" s="63">
        <f>9.2916 * CHOOSE(CONTROL!$C$22, $C$13, 100%, $E$13)</f>
        <v>9.2916000000000007</v>
      </c>
      <c r="D590" s="63">
        <f>9.2916 * CHOOSE(CONTROL!$C$22, $C$13, 100%, $E$13)</f>
        <v>9.2916000000000007</v>
      </c>
      <c r="E590" s="64">
        <f>10.8239 * CHOOSE(CONTROL!$C$22, $C$13, 100%, $E$13)</f>
        <v>10.8239</v>
      </c>
      <c r="F590" s="64">
        <f>10.8239 * CHOOSE(CONTROL!$C$22, $C$13, 100%, $E$13)</f>
        <v>10.8239</v>
      </c>
      <c r="G590" s="64">
        <f>10.824 * CHOOSE(CONTROL!$C$22, $C$13, 100%, $E$13)</f>
        <v>10.824</v>
      </c>
      <c r="H590" s="64">
        <f>18.4199* CHOOSE(CONTROL!$C$22, $C$13, 100%, $E$13)</f>
        <v>18.419899999999998</v>
      </c>
      <c r="I590" s="64">
        <f>18.42 * CHOOSE(CONTROL!$C$22, $C$13, 100%, $E$13)</f>
        <v>18.420000000000002</v>
      </c>
      <c r="J590" s="64">
        <f>10.8239 * CHOOSE(CONTROL!$C$22, $C$13, 100%, $E$13)</f>
        <v>10.8239</v>
      </c>
      <c r="K590" s="64">
        <f>10.824 * CHOOSE(CONTROL!$C$22, $C$13, 100%, $E$13)</f>
        <v>10.824</v>
      </c>
    </row>
    <row r="591" spans="1:11" ht="15">
      <c r="A591" s="13">
        <v>59476</v>
      </c>
      <c r="B591" s="63">
        <f>9.2946 * CHOOSE(CONTROL!$C$22, $C$13, 100%, $E$13)</f>
        <v>9.2946000000000009</v>
      </c>
      <c r="C591" s="63">
        <f>9.2946 * CHOOSE(CONTROL!$C$22, $C$13, 100%, $E$13)</f>
        <v>9.2946000000000009</v>
      </c>
      <c r="D591" s="63">
        <f>9.2946 * CHOOSE(CONTROL!$C$22, $C$13, 100%, $E$13)</f>
        <v>9.2946000000000009</v>
      </c>
      <c r="E591" s="64">
        <f>10.8643 * CHOOSE(CONTROL!$C$22, $C$13, 100%, $E$13)</f>
        <v>10.8643</v>
      </c>
      <c r="F591" s="64">
        <f>10.8643 * CHOOSE(CONTROL!$C$22, $C$13, 100%, $E$13)</f>
        <v>10.8643</v>
      </c>
      <c r="G591" s="64">
        <f>10.8644 * CHOOSE(CONTROL!$C$22, $C$13, 100%, $E$13)</f>
        <v>10.8644</v>
      </c>
      <c r="H591" s="64">
        <f>18.4583* CHOOSE(CONTROL!$C$22, $C$13, 100%, $E$13)</f>
        <v>18.458300000000001</v>
      </c>
      <c r="I591" s="64">
        <f>18.4583 * CHOOSE(CONTROL!$C$22, $C$13, 100%, $E$13)</f>
        <v>18.458300000000001</v>
      </c>
      <c r="J591" s="64">
        <f>10.8643 * CHOOSE(CONTROL!$C$22, $C$13, 100%, $E$13)</f>
        <v>10.8643</v>
      </c>
      <c r="K591" s="64">
        <f>10.8644 * CHOOSE(CONTROL!$C$22, $C$13, 100%, $E$13)</f>
        <v>10.8644</v>
      </c>
    </row>
    <row r="592" spans="1:11" ht="15">
      <c r="A592" s="13">
        <v>59506</v>
      </c>
      <c r="B592" s="63">
        <f>9.2946 * CHOOSE(CONTROL!$C$22, $C$13, 100%, $E$13)</f>
        <v>9.2946000000000009</v>
      </c>
      <c r="C592" s="63">
        <f>9.2946 * CHOOSE(CONTROL!$C$22, $C$13, 100%, $E$13)</f>
        <v>9.2946000000000009</v>
      </c>
      <c r="D592" s="63">
        <f>9.2946 * CHOOSE(CONTROL!$C$22, $C$13, 100%, $E$13)</f>
        <v>9.2946000000000009</v>
      </c>
      <c r="E592" s="64">
        <f>10.7686 * CHOOSE(CONTROL!$C$22, $C$13, 100%, $E$13)</f>
        <v>10.768599999999999</v>
      </c>
      <c r="F592" s="64">
        <f>10.7686 * CHOOSE(CONTROL!$C$22, $C$13, 100%, $E$13)</f>
        <v>10.768599999999999</v>
      </c>
      <c r="G592" s="64">
        <f>10.7687 * CHOOSE(CONTROL!$C$22, $C$13, 100%, $E$13)</f>
        <v>10.768700000000001</v>
      </c>
      <c r="H592" s="64">
        <f>18.4967* CHOOSE(CONTROL!$C$22, $C$13, 100%, $E$13)</f>
        <v>18.496700000000001</v>
      </c>
      <c r="I592" s="64">
        <f>18.4968 * CHOOSE(CONTROL!$C$22, $C$13, 100%, $E$13)</f>
        <v>18.4968</v>
      </c>
      <c r="J592" s="64">
        <f>10.7686 * CHOOSE(CONTROL!$C$22, $C$13, 100%, $E$13)</f>
        <v>10.768599999999999</v>
      </c>
      <c r="K592" s="64">
        <f>10.7687 * CHOOSE(CONTROL!$C$22, $C$13, 100%, $E$13)</f>
        <v>10.768700000000001</v>
      </c>
    </row>
    <row r="593" spans="1:11" ht="15">
      <c r="A593" s="13">
        <v>59537</v>
      </c>
      <c r="B593" s="63">
        <f>9.3673 * CHOOSE(CONTROL!$C$22, $C$13, 100%, $E$13)</f>
        <v>9.3673000000000002</v>
      </c>
      <c r="C593" s="63">
        <f>9.3673 * CHOOSE(CONTROL!$C$22, $C$13, 100%, $E$13)</f>
        <v>9.3673000000000002</v>
      </c>
      <c r="D593" s="63">
        <f>9.3673 * CHOOSE(CONTROL!$C$22, $C$13, 100%, $E$13)</f>
        <v>9.3673000000000002</v>
      </c>
      <c r="E593" s="64">
        <f>10.9185 * CHOOSE(CONTROL!$C$22, $C$13, 100%, $E$13)</f>
        <v>10.9185</v>
      </c>
      <c r="F593" s="64">
        <f>10.9185 * CHOOSE(CONTROL!$C$22, $C$13, 100%, $E$13)</f>
        <v>10.9185</v>
      </c>
      <c r="G593" s="64">
        <f>10.9186 * CHOOSE(CONTROL!$C$22, $C$13, 100%, $E$13)</f>
        <v>10.9186</v>
      </c>
      <c r="H593" s="64">
        <f>18.524* CHOOSE(CONTROL!$C$22, $C$13, 100%, $E$13)</f>
        <v>18.524000000000001</v>
      </c>
      <c r="I593" s="64">
        <f>18.5241 * CHOOSE(CONTROL!$C$22, $C$13, 100%, $E$13)</f>
        <v>18.524100000000001</v>
      </c>
      <c r="J593" s="64">
        <f>10.9185 * CHOOSE(CONTROL!$C$22, $C$13, 100%, $E$13)</f>
        <v>10.9185</v>
      </c>
      <c r="K593" s="64">
        <f>10.9186 * CHOOSE(CONTROL!$C$22, $C$13, 100%, $E$13)</f>
        <v>10.9186</v>
      </c>
    </row>
    <row r="594" spans="1:11" ht="15">
      <c r="A594" s="13">
        <v>59568</v>
      </c>
      <c r="B594" s="63">
        <f>9.3643 * CHOOSE(CONTROL!$C$22, $C$13, 100%, $E$13)</f>
        <v>9.3643000000000001</v>
      </c>
      <c r="C594" s="63">
        <f>9.3643 * CHOOSE(CONTROL!$C$22, $C$13, 100%, $E$13)</f>
        <v>9.3643000000000001</v>
      </c>
      <c r="D594" s="63">
        <f>9.3643 * CHOOSE(CONTROL!$C$22, $C$13, 100%, $E$13)</f>
        <v>9.3643000000000001</v>
      </c>
      <c r="E594" s="64">
        <f>10.7305 * CHOOSE(CONTROL!$C$22, $C$13, 100%, $E$13)</f>
        <v>10.730499999999999</v>
      </c>
      <c r="F594" s="64">
        <f>10.7305 * CHOOSE(CONTROL!$C$22, $C$13, 100%, $E$13)</f>
        <v>10.730499999999999</v>
      </c>
      <c r="G594" s="64">
        <f>10.7306 * CHOOSE(CONTROL!$C$22, $C$13, 100%, $E$13)</f>
        <v>10.730600000000001</v>
      </c>
      <c r="H594" s="64">
        <f>18.5626* CHOOSE(CONTROL!$C$22, $C$13, 100%, $E$13)</f>
        <v>18.5626</v>
      </c>
      <c r="I594" s="64">
        <f>18.5627 * CHOOSE(CONTROL!$C$22, $C$13, 100%, $E$13)</f>
        <v>18.5627</v>
      </c>
      <c r="J594" s="64">
        <f>10.7305 * CHOOSE(CONTROL!$C$22, $C$13, 100%, $E$13)</f>
        <v>10.730499999999999</v>
      </c>
      <c r="K594" s="64">
        <f>10.7306 * CHOOSE(CONTROL!$C$22, $C$13, 100%, $E$13)</f>
        <v>10.730600000000001</v>
      </c>
    </row>
    <row r="595" spans="1:11" ht="15">
      <c r="A595" s="13">
        <v>59596</v>
      </c>
      <c r="B595" s="63">
        <f>9.3612 * CHOOSE(CONTROL!$C$22, $C$13, 100%, $E$13)</f>
        <v>9.3612000000000002</v>
      </c>
      <c r="C595" s="63">
        <f>9.3612 * CHOOSE(CONTROL!$C$22, $C$13, 100%, $E$13)</f>
        <v>9.3612000000000002</v>
      </c>
      <c r="D595" s="63">
        <f>9.3612 * CHOOSE(CONTROL!$C$22, $C$13, 100%, $E$13)</f>
        <v>9.3612000000000002</v>
      </c>
      <c r="E595" s="64">
        <f>10.8749 * CHOOSE(CONTROL!$C$22, $C$13, 100%, $E$13)</f>
        <v>10.8749</v>
      </c>
      <c r="F595" s="64">
        <f>10.8749 * CHOOSE(CONTROL!$C$22, $C$13, 100%, $E$13)</f>
        <v>10.8749</v>
      </c>
      <c r="G595" s="64">
        <f>10.875 * CHOOSE(CONTROL!$C$22, $C$13, 100%, $E$13)</f>
        <v>10.875</v>
      </c>
      <c r="H595" s="64">
        <f>18.6012* CHOOSE(CONTROL!$C$22, $C$13, 100%, $E$13)</f>
        <v>18.601199999999999</v>
      </c>
      <c r="I595" s="64">
        <f>18.6013 * CHOOSE(CONTROL!$C$22, $C$13, 100%, $E$13)</f>
        <v>18.601299999999998</v>
      </c>
      <c r="J595" s="64">
        <f>10.8749 * CHOOSE(CONTROL!$C$22, $C$13, 100%, $E$13)</f>
        <v>10.8749</v>
      </c>
      <c r="K595" s="64">
        <f>10.875 * CHOOSE(CONTROL!$C$22, $C$13, 100%, $E$13)</f>
        <v>10.875</v>
      </c>
    </row>
    <row r="596" spans="1:11" ht="15">
      <c r="A596" s="13">
        <v>59627</v>
      </c>
      <c r="B596" s="63">
        <f>9.3634 * CHOOSE(CONTROL!$C$22, $C$13, 100%, $E$13)</f>
        <v>9.3634000000000004</v>
      </c>
      <c r="C596" s="63">
        <f>9.3634 * CHOOSE(CONTROL!$C$22, $C$13, 100%, $E$13)</f>
        <v>9.3634000000000004</v>
      </c>
      <c r="D596" s="63">
        <f>9.3634 * CHOOSE(CONTROL!$C$22, $C$13, 100%, $E$13)</f>
        <v>9.3634000000000004</v>
      </c>
      <c r="E596" s="64">
        <f>11.028 * CHOOSE(CONTROL!$C$22, $C$13, 100%, $E$13)</f>
        <v>11.028</v>
      </c>
      <c r="F596" s="64">
        <f>11.028 * CHOOSE(CONTROL!$C$22, $C$13, 100%, $E$13)</f>
        <v>11.028</v>
      </c>
      <c r="G596" s="64">
        <f>11.0281 * CHOOSE(CONTROL!$C$22, $C$13, 100%, $E$13)</f>
        <v>11.0281</v>
      </c>
      <c r="H596" s="64">
        <f>18.64* CHOOSE(CONTROL!$C$22, $C$13, 100%, $E$13)</f>
        <v>18.64</v>
      </c>
      <c r="I596" s="64">
        <f>18.6401 * CHOOSE(CONTROL!$C$22, $C$13, 100%, $E$13)</f>
        <v>18.6401</v>
      </c>
      <c r="J596" s="64">
        <f>11.028 * CHOOSE(CONTROL!$C$22, $C$13, 100%, $E$13)</f>
        <v>11.028</v>
      </c>
      <c r="K596" s="64">
        <f>11.0281 * CHOOSE(CONTROL!$C$22, $C$13, 100%, $E$13)</f>
        <v>11.0281</v>
      </c>
    </row>
    <row r="597" spans="1:11" ht="15">
      <c r="A597" s="13">
        <v>59657</v>
      </c>
      <c r="B597" s="63">
        <f>9.3634 * CHOOSE(CONTROL!$C$22, $C$13, 100%, $E$13)</f>
        <v>9.3634000000000004</v>
      </c>
      <c r="C597" s="63">
        <f>9.3634 * CHOOSE(CONTROL!$C$22, $C$13, 100%, $E$13)</f>
        <v>9.3634000000000004</v>
      </c>
      <c r="D597" s="63">
        <f>9.3715 * CHOOSE(CONTROL!$C$22, $C$13, 100%, $E$13)</f>
        <v>9.3714999999999993</v>
      </c>
      <c r="E597" s="64">
        <f>11.087 * CHOOSE(CONTROL!$C$22, $C$13, 100%, $E$13)</f>
        <v>11.087</v>
      </c>
      <c r="F597" s="64">
        <f>11.087 * CHOOSE(CONTROL!$C$22, $C$13, 100%, $E$13)</f>
        <v>11.087</v>
      </c>
      <c r="G597" s="64">
        <f>11.0968 * CHOOSE(CONTROL!$C$22, $C$13, 100%, $E$13)</f>
        <v>11.0968</v>
      </c>
      <c r="H597" s="64">
        <f>18.6788* CHOOSE(CONTROL!$C$22, $C$13, 100%, $E$13)</f>
        <v>18.678799999999999</v>
      </c>
      <c r="I597" s="64">
        <f>18.6887 * CHOOSE(CONTROL!$C$22, $C$13, 100%, $E$13)</f>
        <v>18.688700000000001</v>
      </c>
      <c r="J597" s="64">
        <f>11.087 * CHOOSE(CONTROL!$C$22, $C$13, 100%, $E$13)</f>
        <v>11.087</v>
      </c>
      <c r="K597" s="64">
        <f>11.0968 * CHOOSE(CONTROL!$C$22, $C$13, 100%, $E$13)</f>
        <v>11.0968</v>
      </c>
    </row>
    <row r="598" spans="1:11" ht="15">
      <c r="A598" s="13">
        <v>59688</v>
      </c>
      <c r="B598" s="63">
        <f>9.3695 * CHOOSE(CONTROL!$C$22, $C$13, 100%, $E$13)</f>
        <v>9.3695000000000004</v>
      </c>
      <c r="C598" s="63">
        <f>9.3695 * CHOOSE(CONTROL!$C$22, $C$13, 100%, $E$13)</f>
        <v>9.3695000000000004</v>
      </c>
      <c r="D598" s="63">
        <f>9.3776 * CHOOSE(CONTROL!$C$22, $C$13, 100%, $E$13)</f>
        <v>9.3775999999999993</v>
      </c>
      <c r="E598" s="64">
        <f>11.0322 * CHOOSE(CONTROL!$C$22, $C$13, 100%, $E$13)</f>
        <v>11.0322</v>
      </c>
      <c r="F598" s="64">
        <f>11.0322 * CHOOSE(CONTROL!$C$22, $C$13, 100%, $E$13)</f>
        <v>11.0322</v>
      </c>
      <c r="G598" s="64">
        <f>11.0421 * CHOOSE(CONTROL!$C$22, $C$13, 100%, $E$13)</f>
        <v>11.0421</v>
      </c>
      <c r="H598" s="64">
        <f>18.7177* CHOOSE(CONTROL!$C$22, $C$13, 100%, $E$13)</f>
        <v>18.717700000000001</v>
      </c>
      <c r="I598" s="64">
        <f>18.7276 * CHOOSE(CONTROL!$C$22, $C$13, 100%, $E$13)</f>
        <v>18.727599999999999</v>
      </c>
      <c r="J598" s="64">
        <f>11.0322 * CHOOSE(CONTROL!$C$22, $C$13, 100%, $E$13)</f>
        <v>11.0322</v>
      </c>
      <c r="K598" s="64">
        <f>11.0421 * CHOOSE(CONTROL!$C$22, $C$13, 100%, $E$13)</f>
        <v>11.0421</v>
      </c>
    </row>
    <row r="599" spans="1:11" ht="15">
      <c r="A599" s="13">
        <v>59718</v>
      </c>
      <c r="B599" s="63">
        <f>9.5148 * CHOOSE(CONTROL!$C$22, $C$13, 100%, $E$13)</f>
        <v>9.5147999999999993</v>
      </c>
      <c r="C599" s="63">
        <f>9.5148 * CHOOSE(CONTROL!$C$22, $C$13, 100%, $E$13)</f>
        <v>9.5147999999999993</v>
      </c>
      <c r="D599" s="63">
        <f>9.5229 * CHOOSE(CONTROL!$C$22, $C$13, 100%, $E$13)</f>
        <v>9.5228999999999999</v>
      </c>
      <c r="E599" s="64">
        <f>11.2114 * CHOOSE(CONTROL!$C$22, $C$13, 100%, $E$13)</f>
        <v>11.211399999999999</v>
      </c>
      <c r="F599" s="64">
        <f>11.2114 * CHOOSE(CONTROL!$C$22, $C$13, 100%, $E$13)</f>
        <v>11.211399999999999</v>
      </c>
      <c r="G599" s="64">
        <f>11.2213 * CHOOSE(CONTROL!$C$22, $C$13, 100%, $E$13)</f>
        <v>11.221299999999999</v>
      </c>
      <c r="H599" s="64">
        <f>18.7567* CHOOSE(CONTROL!$C$22, $C$13, 100%, $E$13)</f>
        <v>18.756699999999999</v>
      </c>
      <c r="I599" s="64">
        <f>18.7666 * CHOOSE(CONTROL!$C$22, $C$13, 100%, $E$13)</f>
        <v>18.7666</v>
      </c>
      <c r="J599" s="64">
        <f>11.2114 * CHOOSE(CONTROL!$C$22, $C$13, 100%, $E$13)</f>
        <v>11.211399999999999</v>
      </c>
      <c r="K599" s="64">
        <f>11.2213 * CHOOSE(CONTROL!$C$22, $C$13, 100%, $E$13)</f>
        <v>11.221299999999999</v>
      </c>
    </row>
    <row r="600" spans="1:11" ht="15">
      <c r="A600" s="13">
        <v>59749</v>
      </c>
      <c r="B600" s="63">
        <f>9.5215 * CHOOSE(CONTROL!$C$22, $C$13, 100%, $E$13)</f>
        <v>9.5214999999999996</v>
      </c>
      <c r="C600" s="63">
        <f>9.5215 * CHOOSE(CONTROL!$C$22, $C$13, 100%, $E$13)</f>
        <v>9.5214999999999996</v>
      </c>
      <c r="D600" s="63">
        <f>9.5296 * CHOOSE(CONTROL!$C$22, $C$13, 100%, $E$13)</f>
        <v>9.5296000000000003</v>
      </c>
      <c r="E600" s="64">
        <f>11.0391 * CHOOSE(CONTROL!$C$22, $C$13, 100%, $E$13)</f>
        <v>11.039099999999999</v>
      </c>
      <c r="F600" s="64">
        <f>11.0391 * CHOOSE(CONTROL!$C$22, $C$13, 100%, $E$13)</f>
        <v>11.039099999999999</v>
      </c>
      <c r="G600" s="64">
        <f>11.0489 * CHOOSE(CONTROL!$C$22, $C$13, 100%, $E$13)</f>
        <v>11.0489</v>
      </c>
      <c r="H600" s="64">
        <f>18.7958* CHOOSE(CONTROL!$C$22, $C$13, 100%, $E$13)</f>
        <v>18.7958</v>
      </c>
      <c r="I600" s="64">
        <f>18.8056 * CHOOSE(CONTROL!$C$22, $C$13, 100%, $E$13)</f>
        <v>18.805599999999998</v>
      </c>
      <c r="J600" s="64">
        <f>11.0391 * CHOOSE(CONTROL!$C$22, $C$13, 100%, $E$13)</f>
        <v>11.039099999999999</v>
      </c>
      <c r="K600" s="64">
        <f>11.0489 * CHOOSE(CONTROL!$C$22, $C$13, 100%, $E$13)</f>
        <v>11.0489</v>
      </c>
    </row>
    <row r="601" spans="1:11" ht="15">
      <c r="A601" s="13">
        <v>59780</v>
      </c>
      <c r="B601" s="63">
        <f>9.5185 * CHOOSE(CONTROL!$C$22, $C$13, 100%, $E$13)</f>
        <v>9.5184999999999995</v>
      </c>
      <c r="C601" s="63">
        <f>9.5185 * CHOOSE(CONTROL!$C$22, $C$13, 100%, $E$13)</f>
        <v>9.5184999999999995</v>
      </c>
      <c r="D601" s="63">
        <f>9.5266 * CHOOSE(CONTROL!$C$22, $C$13, 100%, $E$13)</f>
        <v>9.5266000000000002</v>
      </c>
      <c r="E601" s="64">
        <f>11.0173 * CHOOSE(CONTROL!$C$22, $C$13, 100%, $E$13)</f>
        <v>11.017300000000001</v>
      </c>
      <c r="F601" s="64">
        <f>11.0173 * CHOOSE(CONTROL!$C$22, $C$13, 100%, $E$13)</f>
        <v>11.017300000000001</v>
      </c>
      <c r="G601" s="64">
        <f>11.0271 * CHOOSE(CONTROL!$C$22, $C$13, 100%, $E$13)</f>
        <v>11.027100000000001</v>
      </c>
      <c r="H601" s="64">
        <f>18.835* CHOOSE(CONTROL!$C$22, $C$13, 100%, $E$13)</f>
        <v>18.835000000000001</v>
      </c>
      <c r="I601" s="64">
        <f>18.8448 * CHOOSE(CONTROL!$C$22, $C$13, 100%, $E$13)</f>
        <v>18.844799999999999</v>
      </c>
      <c r="J601" s="64">
        <f>11.0173 * CHOOSE(CONTROL!$C$22, $C$13, 100%, $E$13)</f>
        <v>11.017300000000001</v>
      </c>
      <c r="K601" s="64">
        <f>11.0271 * CHOOSE(CONTROL!$C$22, $C$13, 100%, $E$13)</f>
        <v>11.027100000000001</v>
      </c>
    </row>
    <row r="602" spans="1:11" ht="15">
      <c r="A602" s="13">
        <v>59810</v>
      </c>
      <c r="B602" s="63">
        <f>9.5315 * CHOOSE(CONTROL!$C$22, $C$13, 100%, $E$13)</f>
        <v>9.5314999999999994</v>
      </c>
      <c r="C602" s="63">
        <f>9.5315 * CHOOSE(CONTROL!$C$22, $C$13, 100%, $E$13)</f>
        <v>9.5314999999999994</v>
      </c>
      <c r="D602" s="63">
        <f>9.5315 * CHOOSE(CONTROL!$C$22, $C$13, 100%, $E$13)</f>
        <v>9.5314999999999994</v>
      </c>
      <c r="E602" s="64">
        <f>11.0825 * CHOOSE(CONTROL!$C$22, $C$13, 100%, $E$13)</f>
        <v>11.0825</v>
      </c>
      <c r="F602" s="64">
        <f>11.0825 * CHOOSE(CONTROL!$C$22, $C$13, 100%, $E$13)</f>
        <v>11.0825</v>
      </c>
      <c r="G602" s="64">
        <f>11.0826 * CHOOSE(CONTROL!$C$22, $C$13, 100%, $E$13)</f>
        <v>11.082599999999999</v>
      </c>
      <c r="H602" s="64">
        <f>18.8742* CHOOSE(CONTROL!$C$22, $C$13, 100%, $E$13)</f>
        <v>18.874199999999998</v>
      </c>
      <c r="I602" s="64">
        <f>18.8743 * CHOOSE(CONTROL!$C$22, $C$13, 100%, $E$13)</f>
        <v>18.874300000000002</v>
      </c>
      <c r="J602" s="64">
        <f>11.0825 * CHOOSE(CONTROL!$C$22, $C$13, 100%, $E$13)</f>
        <v>11.0825</v>
      </c>
      <c r="K602" s="64">
        <f>11.0826 * CHOOSE(CONTROL!$C$22, $C$13, 100%, $E$13)</f>
        <v>11.082599999999999</v>
      </c>
    </row>
    <row r="603" spans="1:11" ht="15">
      <c r="A603" s="13">
        <v>59841</v>
      </c>
      <c r="B603" s="63">
        <f>9.5345 * CHOOSE(CONTROL!$C$22, $C$13, 100%, $E$13)</f>
        <v>9.5344999999999995</v>
      </c>
      <c r="C603" s="63">
        <f>9.5345 * CHOOSE(CONTROL!$C$22, $C$13, 100%, $E$13)</f>
        <v>9.5344999999999995</v>
      </c>
      <c r="D603" s="63">
        <f>9.5346 * CHOOSE(CONTROL!$C$22, $C$13, 100%, $E$13)</f>
        <v>9.5345999999999993</v>
      </c>
      <c r="E603" s="64">
        <f>11.124 * CHOOSE(CONTROL!$C$22, $C$13, 100%, $E$13)</f>
        <v>11.124000000000001</v>
      </c>
      <c r="F603" s="64">
        <f>11.124 * CHOOSE(CONTROL!$C$22, $C$13, 100%, $E$13)</f>
        <v>11.124000000000001</v>
      </c>
      <c r="G603" s="64">
        <f>11.1241 * CHOOSE(CONTROL!$C$22, $C$13, 100%, $E$13)</f>
        <v>11.1241</v>
      </c>
      <c r="H603" s="64">
        <f>18.9135* CHOOSE(CONTROL!$C$22, $C$13, 100%, $E$13)</f>
        <v>18.913499999999999</v>
      </c>
      <c r="I603" s="64">
        <f>18.9136 * CHOOSE(CONTROL!$C$22, $C$13, 100%, $E$13)</f>
        <v>18.913599999999999</v>
      </c>
      <c r="J603" s="64">
        <f>11.124 * CHOOSE(CONTROL!$C$22, $C$13, 100%, $E$13)</f>
        <v>11.124000000000001</v>
      </c>
      <c r="K603" s="64">
        <f>11.1241 * CHOOSE(CONTROL!$C$22, $C$13, 100%, $E$13)</f>
        <v>11.1241</v>
      </c>
    </row>
    <row r="604" spans="1:11" ht="15">
      <c r="A604" s="13">
        <v>59871</v>
      </c>
      <c r="B604" s="63">
        <f>9.5345 * CHOOSE(CONTROL!$C$22, $C$13, 100%, $E$13)</f>
        <v>9.5344999999999995</v>
      </c>
      <c r="C604" s="63">
        <f>9.5345 * CHOOSE(CONTROL!$C$22, $C$13, 100%, $E$13)</f>
        <v>9.5344999999999995</v>
      </c>
      <c r="D604" s="63">
        <f>9.5346 * CHOOSE(CONTROL!$C$22, $C$13, 100%, $E$13)</f>
        <v>9.5345999999999993</v>
      </c>
      <c r="E604" s="64">
        <f>11.0257 * CHOOSE(CONTROL!$C$22, $C$13, 100%, $E$13)</f>
        <v>11.025700000000001</v>
      </c>
      <c r="F604" s="64">
        <f>11.0257 * CHOOSE(CONTROL!$C$22, $C$13, 100%, $E$13)</f>
        <v>11.025700000000001</v>
      </c>
      <c r="G604" s="64">
        <f>11.0257 * CHOOSE(CONTROL!$C$22, $C$13, 100%, $E$13)</f>
        <v>11.025700000000001</v>
      </c>
      <c r="H604" s="64">
        <f>18.9529* CHOOSE(CONTROL!$C$22, $C$13, 100%, $E$13)</f>
        <v>18.9529</v>
      </c>
      <c r="I604" s="64">
        <f>18.953 * CHOOSE(CONTROL!$C$22, $C$13, 100%, $E$13)</f>
        <v>18.952999999999999</v>
      </c>
      <c r="J604" s="64">
        <f>11.0257 * CHOOSE(CONTROL!$C$22, $C$13, 100%, $E$13)</f>
        <v>11.025700000000001</v>
      </c>
      <c r="K604" s="64">
        <f>11.0257 * CHOOSE(CONTROL!$C$22, $C$13, 100%, $E$13)</f>
        <v>11.025700000000001</v>
      </c>
    </row>
    <row r="605" spans="1:11" ht="15">
      <c r="A605" s="13">
        <v>59902</v>
      </c>
      <c r="B605" s="63">
        <f>9.6029 * CHOOSE(CONTROL!$C$22, $C$13, 100%, $E$13)</f>
        <v>9.6029</v>
      </c>
      <c r="C605" s="63">
        <f>9.6029 * CHOOSE(CONTROL!$C$22, $C$13, 100%, $E$13)</f>
        <v>9.6029</v>
      </c>
      <c r="D605" s="63">
        <f>9.6029 * CHOOSE(CONTROL!$C$22, $C$13, 100%, $E$13)</f>
        <v>9.6029</v>
      </c>
      <c r="E605" s="64">
        <f>11.1732 * CHOOSE(CONTROL!$C$22, $C$13, 100%, $E$13)</f>
        <v>11.1732</v>
      </c>
      <c r="F605" s="64">
        <f>11.1732 * CHOOSE(CONTROL!$C$22, $C$13, 100%, $E$13)</f>
        <v>11.1732</v>
      </c>
      <c r="G605" s="64">
        <f>11.1733 * CHOOSE(CONTROL!$C$22, $C$13, 100%, $E$13)</f>
        <v>11.173299999999999</v>
      </c>
      <c r="H605" s="64">
        <f>18.9699* CHOOSE(CONTROL!$C$22, $C$13, 100%, $E$13)</f>
        <v>18.969899999999999</v>
      </c>
      <c r="I605" s="64">
        <f>18.97 * CHOOSE(CONTROL!$C$22, $C$13, 100%, $E$13)</f>
        <v>18.97</v>
      </c>
      <c r="J605" s="64">
        <f>11.1732 * CHOOSE(CONTROL!$C$22, $C$13, 100%, $E$13)</f>
        <v>11.1732</v>
      </c>
      <c r="K605" s="64">
        <f>11.1733 * CHOOSE(CONTROL!$C$22, $C$13, 100%, $E$13)</f>
        <v>11.173299999999999</v>
      </c>
    </row>
    <row r="606" spans="1:11" ht="15">
      <c r="A606" s="13">
        <v>59933</v>
      </c>
      <c r="B606" s="63">
        <f>9.5999 * CHOOSE(CONTROL!$C$22, $C$13, 100%, $E$13)</f>
        <v>9.5998999999999999</v>
      </c>
      <c r="C606" s="63">
        <f>9.5999 * CHOOSE(CONTROL!$C$22, $C$13, 100%, $E$13)</f>
        <v>9.5998999999999999</v>
      </c>
      <c r="D606" s="63">
        <f>9.5999 * CHOOSE(CONTROL!$C$22, $C$13, 100%, $E$13)</f>
        <v>9.5998999999999999</v>
      </c>
      <c r="E606" s="64">
        <f>10.9803 * CHOOSE(CONTROL!$C$22, $C$13, 100%, $E$13)</f>
        <v>10.9803</v>
      </c>
      <c r="F606" s="64">
        <f>10.9803 * CHOOSE(CONTROL!$C$22, $C$13, 100%, $E$13)</f>
        <v>10.9803</v>
      </c>
      <c r="G606" s="64">
        <f>10.9804 * CHOOSE(CONTROL!$C$22, $C$13, 100%, $E$13)</f>
        <v>10.980399999999999</v>
      </c>
      <c r="H606" s="64">
        <f>19.0094* CHOOSE(CONTROL!$C$22, $C$13, 100%, $E$13)</f>
        <v>19.009399999999999</v>
      </c>
      <c r="I606" s="64">
        <f>19.0095 * CHOOSE(CONTROL!$C$22, $C$13, 100%, $E$13)</f>
        <v>19.009499999999999</v>
      </c>
      <c r="J606" s="64">
        <f>10.9803 * CHOOSE(CONTROL!$C$22, $C$13, 100%, $E$13)</f>
        <v>10.9803</v>
      </c>
      <c r="K606" s="64">
        <f>10.9804 * CHOOSE(CONTROL!$C$22, $C$13, 100%, $E$13)</f>
        <v>10.980399999999999</v>
      </c>
    </row>
    <row r="607" spans="1:11" ht="15">
      <c r="A607" s="13">
        <v>59962</v>
      </c>
      <c r="B607" s="63">
        <f>9.5968 * CHOOSE(CONTROL!$C$22, $C$13, 100%, $E$13)</f>
        <v>9.5968</v>
      </c>
      <c r="C607" s="63">
        <f>9.5968 * CHOOSE(CONTROL!$C$22, $C$13, 100%, $E$13)</f>
        <v>9.5968</v>
      </c>
      <c r="D607" s="63">
        <f>9.5968 * CHOOSE(CONTROL!$C$22, $C$13, 100%, $E$13)</f>
        <v>9.5968</v>
      </c>
      <c r="E607" s="64">
        <f>11.1286 * CHOOSE(CONTROL!$C$22, $C$13, 100%, $E$13)</f>
        <v>11.1286</v>
      </c>
      <c r="F607" s="64">
        <f>11.1286 * CHOOSE(CONTROL!$C$22, $C$13, 100%, $E$13)</f>
        <v>11.1286</v>
      </c>
      <c r="G607" s="64">
        <f>11.1287 * CHOOSE(CONTROL!$C$22, $C$13, 100%, $E$13)</f>
        <v>11.1287</v>
      </c>
      <c r="H607" s="64">
        <f>19.049* CHOOSE(CONTROL!$C$22, $C$13, 100%, $E$13)</f>
        <v>19.048999999999999</v>
      </c>
      <c r="I607" s="64">
        <f>19.0491 * CHOOSE(CONTROL!$C$22, $C$13, 100%, $E$13)</f>
        <v>19.049099999999999</v>
      </c>
      <c r="J607" s="64">
        <f>11.1286 * CHOOSE(CONTROL!$C$22, $C$13, 100%, $E$13)</f>
        <v>11.1286</v>
      </c>
      <c r="K607" s="64">
        <f>11.1287 * CHOOSE(CONTROL!$C$22, $C$13, 100%, $E$13)</f>
        <v>11.1287</v>
      </c>
    </row>
    <row r="608" spans="1:11" ht="15">
      <c r="A608" s="13">
        <v>59993</v>
      </c>
      <c r="B608" s="63">
        <f>9.5992 * CHOOSE(CONTROL!$C$22, $C$13, 100%, $E$13)</f>
        <v>9.5991999999999997</v>
      </c>
      <c r="C608" s="63">
        <f>9.5992 * CHOOSE(CONTROL!$C$22, $C$13, 100%, $E$13)</f>
        <v>9.5991999999999997</v>
      </c>
      <c r="D608" s="63">
        <f>9.5992 * CHOOSE(CONTROL!$C$22, $C$13, 100%, $E$13)</f>
        <v>9.5991999999999997</v>
      </c>
      <c r="E608" s="64">
        <f>11.2859 * CHOOSE(CONTROL!$C$22, $C$13, 100%, $E$13)</f>
        <v>11.2859</v>
      </c>
      <c r="F608" s="64">
        <f>11.2859 * CHOOSE(CONTROL!$C$22, $C$13, 100%, $E$13)</f>
        <v>11.2859</v>
      </c>
      <c r="G608" s="64">
        <f>11.2859 * CHOOSE(CONTROL!$C$22, $C$13, 100%, $E$13)</f>
        <v>11.2859</v>
      </c>
      <c r="H608" s="64">
        <f>19.0887* CHOOSE(CONTROL!$C$22, $C$13, 100%, $E$13)</f>
        <v>19.088699999999999</v>
      </c>
      <c r="I608" s="64">
        <f>19.0888 * CHOOSE(CONTROL!$C$22, $C$13, 100%, $E$13)</f>
        <v>19.088799999999999</v>
      </c>
      <c r="J608" s="64">
        <f>11.2859 * CHOOSE(CONTROL!$C$22, $C$13, 100%, $E$13)</f>
        <v>11.2859</v>
      </c>
      <c r="K608" s="64">
        <f>11.2859 * CHOOSE(CONTROL!$C$22, $C$13, 100%, $E$13)</f>
        <v>11.2859</v>
      </c>
    </row>
    <row r="609" spans="1:11" ht="15">
      <c r="A609" s="13">
        <v>60023</v>
      </c>
      <c r="B609" s="63">
        <f>9.5992 * CHOOSE(CONTROL!$C$22, $C$13, 100%, $E$13)</f>
        <v>9.5991999999999997</v>
      </c>
      <c r="C609" s="63">
        <f>9.5992 * CHOOSE(CONTROL!$C$22, $C$13, 100%, $E$13)</f>
        <v>9.5991999999999997</v>
      </c>
      <c r="D609" s="63">
        <f>9.6073 * CHOOSE(CONTROL!$C$22, $C$13, 100%, $E$13)</f>
        <v>9.6073000000000004</v>
      </c>
      <c r="E609" s="64">
        <f>11.3464 * CHOOSE(CONTROL!$C$22, $C$13, 100%, $E$13)</f>
        <v>11.346399999999999</v>
      </c>
      <c r="F609" s="64">
        <f>11.3464 * CHOOSE(CONTROL!$C$22, $C$13, 100%, $E$13)</f>
        <v>11.346399999999999</v>
      </c>
      <c r="G609" s="64">
        <f>11.3563 * CHOOSE(CONTROL!$C$22, $C$13, 100%, $E$13)</f>
        <v>11.356299999999999</v>
      </c>
      <c r="H609" s="64">
        <f>19.1284* CHOOSE(CONTROL!$C$22, $C$13, 100%, $E$13)</f>
        <v>19.128399999999999</v>
      </c>
      <c r="I609" s="64">
        <f>19.1383 * CHOOSE(CONTROL!$C$22, $C$13, 100%, $E$13)</f>
        <v>19.138300000000001</v>
      </c>
      <c r="J609" s="64">
        <f>11.3464 * CHOOSE(CONTROL!$C$22, $C$13, 100%, $E$13)</f>
        <v>11.346399999999999</v>
      </c>
      <c r="K609" s="64">
        <f>11.3563 * CHOOSE(CONTROL!$C$22, $C$13, 100%, $E$13)</f>
        <v>11.356299999999999</v>
      </c>
    </row>
    <row r="610" spans="1:11" ht="15">
      <c r="A610" s="13">
        <v>60054</v>
      </c>
      <c r="B610" s="63">
        <f>9.6053 * CHOOSE(CONTROL!$C$22, $C$13, 100%, $E$13)</f>
        <v>9.6052999999999997</v>
      </c>
      <c r="C610" s="63">
        <f>9.6053 * CHOOSE(CONTROL!$C$22, $C$13, 100%, $E$13)</f>
        <v>9.6052999999999997</v>
      </c>
      <c r="D610" s="63">
        <f>9.6134 * CHOOSE(CONTROL!$C$22, $C$13, 100%, $E$13)</f>
        <v>9.6134000000000004</v>
      </c>
      <c r="E610" s="64">
        <f>11.2901 * CHOOSE(CONTROL!$C$22, $C$13, 100%, $E$13)</f>
        <v>11.290100000000001</v>
      </c>
      <c r="F610" s="64">
        <f>11.2901 * CHOOSE(CONTROL!$C$22, $C$13, 100%, $E$13)</f>
        <v>11.290100000000001</v>
      </c>
      <c r="G610" s="64">
        <f>11.2999 * CHOOSE(CONTROL!$C$22, $C$13, 100%, $E$13)</f>
        <v>11.299899999999999</v>
      </c>
      <c r="H610" s="64">
        <f>19.1683* CHOOSE(CONTROL!$C$22, $C$13, 100%, $E$13)</f>
        <v>19.168299999999999</v>
      </c>
      <c r="I610" s="64">
        <f>19.1781 * CHOOSE(CONTROL!$C$22, $C$13, 100%, $E$13)</f>
        <v>19.178100000000001</v>
      </c>
      <c r="J610" s="64">
        <f>11.2901 * CHOOSE(CONTROL!$C$22, $C$13, 100%, $E$13)</f>
        <v>11.290100000000001</v>
      </c>
      <c r="K610" s="64">
        <f>11.2999 * CHOOSE(CONTROL!$C$22, $C$13, 100%, $E$13)</f>
        <v>11.299899999999999</v>
      </c>
    </row>
    <row r="611" spans="1:11" ht="15">
      <c r="A611" s="13">
        <v>60084</v>
      </c>
      <c r="B611" s="63">
        <f>9.754 * CHOOSE(CONTROL!$C$22, $C$13, 100%, $E$13)</f>
        <v>9.7539999999999996</v>
      </c>
      <c r="C611" s="63">
        <f>9.754 * CHOOSE(CONTROL!$C$22, $C$13, 100%, $E$13)</f>
        <v>9.7539999999999996</v>
      </c>
      <c r="D611" s="63">
        <f>9.7621 * CHOOSE(CONTROL!$C$22, $C$13, 100%, $E$13)</f>
        <v>9.7621000000000002</v>
      </c>
      <c r="E611" s="64">
        <f>11.4732 * CHOOSE(CONTROL!$C$22, $C$13, 100%, $E$13)</f>
        <v>11.4732</v>
      </c>
      <c r="F611" s="64">
        <f>11.4732 * CHOOSE(CONTROL!$C$22, $C$13, 100%, $E$13)</f>
        <v>11.4732</v>
      </c>
      <c r="G611" s="64">
        <f>11.483 * CHOOSE(CONTROL!$C$22, $C$13, 100%, $E$13)</f>
        <v>11.483000000000001</v>
      </c>
      <c r="H611" s="64">
        <f>19.2082* CHOOSE(CONTROL!$C$22, $C$13, 100%, $E$13)</f>
        <v>19.208200000000001</v>
      </c>
      <c r="I611" s="64">
        <f>19.2181 * CHOOSE(CONTROL!$C$22, $C$13, 100%, $E$13)</f>
        <v>19.2181</v>
      </c>
      <c r="J611" s="64">
        <f>11.4732 * CHOOSE(CONTROL!$C$22, $C$13, 100%, $E$13)</f>
        <v>11.4732</v>
      </c>
      <c r="K611" s="64">
        <f>11.483 * CHOOSE(CONTROL!$C$22, $C$13, 100%, $E$13)</f>
        <v>11.483000000000001</v>
      </c>
    </row>
    <row r="612" spans="1:11" ht="15">
      <c r="A612" s="13">
        <v>60115</v>
      </c>
      <c r="B612" s="63">
        <f>9.7607 * CHOOSE(CONTROL!$C$22, $C$13, 100%, $E$13)</f>
        <v>9.7606999999999999</v>
      </c>
      <c r="C612" s="63">
        <f>9.7607 * CHOOSE(CONTROL!$C$22, $C$13, 100%, $E$13)</f>
        <v>9.7606999999999999</v>
      </c>
      <c r="D612" s="63">
        <f>9.7688 * CHOOSE(CONTROL!$C$22, $C$13, 100%, $E$13)</f>
        <v>9.7688000000000006</v>
      </c>
      <c r="E612" s="64">
        <f>11.2961 * CHOOSE(CONTROL!$C$22, $C$13, 100%, $E$13)</f>
        <v>11.296099999999999</v>
      </c>
      <c r="F612" s="64">
        <f>11.2961 * CHOOSE(CONTROL!$C$22, $C$13, 100%, $E$13)</f>
        <v>11.296099999999999</v>
      </c>
      <c r="G612" s="64">
        <f>11.306 * CHOOSE(CONTROL!$C$22, $C$13, 100%, $E$13)</f>
        <v>11.305999999999999</v>
      </c>
      <c r="H612" s="64">
        <f>19.2483* CHOOSE(CONTROL!$C$22, $C$13, 100%, $E$13)</f>
        <v>19.2483</v>
      </c>
      <c r="I612" s="64">
        <f>19.2581 * CHOOSE(CONTROL!$C$22, $C$13, 100%, $E$13)</f>
        <v>19.258099999999999</v>
      </c>
      <c r="J612" s="64">
        <f>11.2961 * CHOOSE(CONTROL!$C$22, $C$13, 100%, $E$13)</f>
        <v>11.296099999999999</v>
      </c>
      <c r="K612" s="64">
        <f>11.306 * CHOOSE(CONTROL!$C$22, $C$13, 100%, $E$13)</f>
        <v>11.305999999999999</v>
      </c>
    </row>
    <row r="613" spans="1:11" ht="15">
      <c r="A613" s="13">
        <v>60146</v>
      </c>
      <c r="B613" s="63">
        <f>9.7577 * CHOOSE(CONTROL!$C$22, $C$13, 100%, $E$13)</f>
        <v>9.7576999999999998</v>
      </c>
      <c r="C613" s="63">
        <f>9.7577 * CHOOSE(CONTROL!$C$22, $C$13, 100%, $E$13)</f>
        <v>9.7576999999999998</v>
      </c>
      <c r="D613" s="63">
        <f>9.7658 * CHOOSE(CONTROL!$C$22, $C$13, 100%, $E$13)</f>
        <v>9.7658000000000005</v>
      </c>
      <c r="E613" s="64">
        <f>11.2738 * CHOOSE(CONTROL!$C$22, $C$13, 100%, $E$13)</f>
        <v>11.2738</v>
      </c>
      <c r="F613" s="64">
        <f>11.2738 * CHOOSE(CONTROL!$C$22, $C$13, 100%, $E$13)</f>
        <v>11.2738</v>
      </c>
      <c r="G613" s="64">
        <f>11.2837 * CHOOSE(CONTROL!$C$22, $C$13, 100%, $E$13)</f>
        <v>11.2837</v>
      </c>
      <c r="H613" s="64">
        <f>19.2884* CHOOSE(CONTROL!$C$22, $C$13, 100%, $E$13)</f>
        <v>19.288399999999999</v>
      </c>
      <c r="I613" s="64">
        <f>19.2982 * CHOOSE(CONTROL!$C$22, $C$13, 100%, $E$13)</f>
        <v>19.298200000000001</v>
      </c>
      <c r="J613" s="64">
        <f>11.2738 * CHOOSE(CONTROL!$C$22, $C$13, 100%, $E$13)</f>
        <v>11.2738</v>
      </c>
      <c r="K613" s="64">
        <f>11.2837 * CHOOSE(CONTROL!$C$22, $C$13, 100%, $E$13)</f>
        <v>11.2837</v>
      </c>
    </row>
    <row r="614" spans="1:11" ht="15">
      <c r="A614" s="13">
        <v>60176</v>
      </c>
      <c r="B614" s="63">
        <f>9.7714 * CHOOSE(CONTROL!$C$22, $C$13, 100%, $E$13)</f>
        <v>9.7713999999999999</v>
      </c>
      <c r="C614" s="63">
        <f>9.7714 * CHOOSE(CONTROL!$C$22, $C$13, 100%, $E$13)</f>
        <v>9.7713999999999999</v>
      </c>
      <c r="D614" s="63">
        <f>9.7715 * CHOOSE(CONTROL!$C$22, $C$13, 100%, $E$13)</f>
        <v>9.7714999999999996</v>
      </c>
      <c r="E614" s="64">
        <f>11.3412 * CHOOSE(CONTROL!$C$22, $C$13, 100%, $E$13)</f>
        <v>11.341200000000001</v>
      </c>
      <c r="F614" s="64">
        <f>11.3412 * CHOOSE(CONTROL!$C$22, $C$13, 100%, $E$13)</f>
        <v>11.341200000000001</v>
      </c>
      <c r="G614" s="64">
        <f>11.3413 * CHOOSE(CONTROL!$C$22, $C$13, 100%, $E$13)</f>
        <v>11.3413</v>
      </c>
      <c r="H614" s="64">
        <f>19.3285* CHOOSE(CONTROL!$C$22, $C$13, 100%, $E$13)</f>
        <v>19.328499999999998</v>
      </c>
      <c r="I614" s="64">
        <f>19.3286 * CHOOSE(CONTROL!$C$22, $C$13, 100%, $E$13)</f>
        <v>19.328600000000002</v>
      </c>
      <c r="J614" s="64">
        <f>11.3412 * CHOOSE(CONTROL!$C$22, $C$13, 100%, $E$13)</f>
        <v>11.341200000000001</v>
      </c>
      <c r="K614" s="64">
        <f>11.3413 * CHOOSE(CONTROL!$C$22, $C$13, 100%, $E$13)</f>
        <v>11.3413</v>
      </c>
    </row>
    <row r="615" spans="1:11" ht="15">
      <c r="A615" s="13">
        <v>60207</v>
      </c>
      <c r="B615" s="63">
        <f>9.7745 * CHOOSE(CONTROL!$C$22, $C$13, 100%, $E$13)</f>
        <v>9.7744999999999997</v>
      </c>
      <c r="C615" s="63">
        <f>9.7745 * CHOOSE(CONTROL!$C$22, $C$13, 100%, $E$13)</f>
        <v>9.7744999999999997</v>
      </c>
      <c r="D615" s="63">
        <f>9.7745 * CHOOSE(CONTROL!$C$22, $C$13, 100%, $E$13)</f>
        <v>9.7744999999999997</v>
      </c>
      <c r="E615" s="64">
        <f>11.3837 * CHOOSE(CONTROL!$C$22, $C$13, 100%, $E$13)</f>
        <v>11.383699999999999</v>
      </c>
      <c r="F615" s="64">
        <f>11.3837 * CHOOSE(CONTROL!$C$22, $C$13, 100%, $E$13)</f>
        <v>11.383699999999999</v>
      </c>
      <c r="G615" s="64">
        <f>11.3838 * CHOOSE(CONTROL!$C$22, $C$13, 100%, $E$13)</f>
        <v>11.383800000000001</v>
      </c>
      <c r="H615" s="64">
        <f>19.3688* CHOOSE(CONTROL!$C$22, $C$13, 100%, $E$13)</f>
        <v>19.3688</v>
      </c>
      <c r="I615" s="64">
        <f>19.3689 * CHOOSE(CONTROL!$C$22, $C$13, 100%, $E$13)</f>
        <v>19.3689</v>
      </c>
      <c r="J615" s="64">
        <f>11.3837 * CHOOSE(CONTROL!$C$22, $C$13, 100%, $E$13)</f>
        <v>11.383699999999999</v>
      </c>
      <c r="K615" s="64">
        <f>11.3838 * CHOOSE(CONTROL!$C$22, $C$13, 100%, $E$13)</f>
        <v>11.383800000000001</v>
      </c>
    </row>
    <row r="616" spans="1:11" ht="15">
      <c r="A616" s="13">
        <v>60237</v>
      </c>
      <c r="B616" s="63">
        <f>9.7745 * CHOOSE(CONTROL!$C$22, $C$13, 100%, $E$13)</f>
        <v>9.7744999999999997</v>
      </c>
      <c r="C616" s="63">
        <f>9.7745 * CHOOSE(CONTROL!$C$22, $C$13, 100%, $E$13)</f>
        <v>9.7744999999999997</v>
      </c>
      <c r="D616" s="63">
        <f>9.7745 * CHOOSE(CONTROL!$C$22, $C$13, 100%, $E$13)</f>
        <v>9.7744999999999997</v>
      </c>
      <c r="E616" s="64">
        <f>11.2827 * CHOOSE(CONTROL!$C$22, $C$13, 100%, $E$13)</f>
        <v>11.2827</v>
      </c>
      <c r="F616" s="64">
        <f>11.2827 * CHOOSE(CONTROL!$C$22, $C$13, 100%, $E$13)</f>
        <v>11.2827</v>
      </c>
      <c r="G616" s="64">
        <f>11.2828 * CHOOSE(CONTROL!$C$22, $C$13, 100%, $E$13)</f>
        <v>11.2828</v>
      </c>
      <c r="H616" s="64">
        <f>19.4092* CHOOSE(CONTROL!$C$22, $C$13, 100%, $E$13)</f>
        <v>19.409199999999998</v>
      </c>
      <c r="I616" s="64">
        <f>19.4092 * CHOOSE(CONTROL!$C$22, $C$13, 100%, $E$13)</f>
        <v>19.409199999999998</v>
      </c>
      <c r="J616" s="64">
        <f>11.2827 * CHOOSE(CONTROL!$C$22, $C$13, 100%, $E$13)</f>
        <v>11.2827</v>
      </c>
      <c r="K616" s="64">
        <f>11.2828 * CHOOSE(CONTROL!$C$22, $C$13, 100%, $E$13)</f>
        <v>11.2828</v>
      </c>
    </row>
    <row r="617" spans="1:11" ht="15">
      <c r="A617" s="13">
        <v>60268</v>
      </c>
      <c r="B617" s="63">
        <f>9.8385 * CHOOSE(CONTROL!$C$22, $C$13, 100%, $E$13)</f>
        <v>9.8384999999999998</v>
      </c>
      <c r="C617" s="63">
        <f>9.8385 * CHOOSE(CONTROL!$C$22, $C$13, 100%, $E$13)</f>
        <v>9.8384999999999998</v>
      </c>
      <c r="D617" s="63">
        <f>9.8385 * CHOOSE(CONTROL!$C$22, $C$13, 100%, $E$13)</f>
        <v>9.8384999999999998</v>
      </c>
      <c r="E617" s="64">
        <f>11.4279 * CHOOSE(CONTROL!$C$22, $C$13, 100%, $E$13)</f>
        <v>11.427899999999999</v>
      </c>
      <c r="F617" s="64">
        <f>11.4279 * CHOOSE(CONTROL!$C$22, $C$13, 100%, $E$13)</f>
        <v>11.427899999999999</v>
      </c>
      <c r="G617" s="64">
        <f>11.428 * CHOOSE(CONTROL!$C$22, $C$13, 100%, $E$13)</f>
        <v>11.428000000000001</v>
      </c>
      <c r="H617" s="64">
        <f>19.4158* CHOOSE(CONTROL!$C$22, $C$13, 100%, $E$13)</f>
        <v>19.415800000000001</v>
      </c>
      <c r="I617" s="64">
        <f>19.4158 * CHOOSE(CONTROL!$C$22, $C$13, 100%, $E$13)</f>
        <v>19.415800000000001</v>
      </c>
      <c r="J617" s="64">
        <f>11.4279 * CHOOSE(CONTROL!$C$22, $C$13, 100%, $E$13)</f>
        <v>11.427899999999999</v>
      </c>
      <c r="K617" s="64">
        <f>11.428 * CHOOSE(CONTROL!$C$22, $C$13, 100%, $E$13)</f>
        <v>11.428000000000001</v>
      </c>
    </row>
    <row r="618" spans="1:11" ht="15">
      <c r="A618" s="13">
        <v>60299</v>
      </c>
      <c r="B618" s="63">
        <f>9.8354 * CHOOSE(CONTROL!$C$22, $C$13, 100%, $E$13)</f>
        <v>9.8353999999999999</v>
      </c>
      <c r="C618" s="63">
        <f>9.8354 * CHOOSE(CONTROL!$C$22, $C$13, 100%, $E$13)</f>
        <v>9.8353999999999999</v>
      </c>
      <c r="D618" s="63">
        <f>9.8354 * CHOOSE(CONTROL!$C$22, $C$13, 100%, $E$13)</f>
        <v>9.8353999999999999</v>
      </c>
      <c r="E618" s="64">
        <f>11.2301 * CHOOSE(CONTROL!$C$22, $C$13, 100%, $E$13)</f>
        <v>11.2301</v>
      </c>
      <c r="F618" s="64">
        <f>11.2301 * CHOOSE(CONTROL!$C$22, $C$13, 100%, $E$13)</f>
        <v>11.2301</v>
      </c>
      <c r="G618" s="64">
        <f>11.2302 * CHOOSE(CONTROL!$C$22, $C$13, 100%, $E$13)</f>
        <v>11.2302</v>
      </c>
      <c r="H618" s="64">
        <f>19.4562* CHOOSE(CONTROL!$C$22, $C$13, 100%, $E$13)</f>
        <v>19.456199999999999</v>
      </c>
      <c r="I618" s="64">
        <f>19.4563 * CHOOSE(CONTROL!$C$22, $C$13, 100%, $E$13)</f>
        <v>19.456299999999999</v>
      </c>
      <c r="J618" s="64">
        <f>11.2301 * CHOOSE(CONTROL!$C$22, $C$13, 100%, $E$13)</f>
        <v>11.2301</v>
      </c>
      <c r="K618" s="64">
        <f>11.2302 * CHOOSE(CONTROL!$C$22, $C$13, 100%, $E$13)</f>
        <v>11.2302</v>
      </c>
    </row>
    <row r="619" spans="1:11" ht="15">
      <c r="A619" s="13">
        <v>60327</v>
      </c>
      <c r="B619" s="63">
        <f>9.8324 * CHOOSE(CONTROL!$C$22, $C$13, 100%, $E$13)</f>
        <v>9.8323999999999998</v>
      </c>
      <c r="C619" s="63">
        <f>9.8324 * CHOOSE(CONTROL!$C$22, $C$13, 100%, $E$13)</f>
        <v>9.8323999999999998</v>
      </c>
      <c r="D619" s="63">
        <f>9.8324 * CHOOSE(CONTROL!$C$22, $C$13, 100%, $E$13)</f>
        <v>9.8323999999999998</v>
      </c>
      <c r="E619" s="64">
        <f>11.3823 * CHOOSE(CONTROL!$C$22, $C$13, 100%, $E$13)</f>
        <v>11.382300000000001</v>
      </c>
      <c r="F619" s="64">
        <f>11.3823 * CHOOSE(CONTROL!$C$22, $C$13, 100%, $E$13)</f>
        <v>11.382300000000001</v>
      </c>
      <c r="G619" s="64">
        <f>11.3823 * CHOOSE(CONTROL!$C$22, $C$13, 100%, $E$13)</f>
        <v>11.382300000000001</v>
      </c>
      <c r="H619" s="64">
        <f>19.4967* CHOOSE(CONTROL!$C$22, $C$13, 100%, $E$13)</f>
        <v>19.496700000000001</v>
      </c>
      <c r="I619" s="64">
        <f>19.4968 * CHOOSE(CONTROL!$C$22, $C$13, 100%, $E$13)</f>
        <v>19.4968</v>
      </c>
      <c r="J619" s="64">
        <f>11.3823 * CHOOSE(CONTROL!$C$22, $C$13, 100%, $E$13)</f>
        <v>11.382300000000001</v>
      </c>
      <c r="K619" s="64">
        <f>11.3823 * CHOOSE(CONTROL!$C$22, $C$13, 100%, $E$13)</f>
        <v>11.382300000000001</v>
      </c>
    </row>
    <row r="620" spans="1:11" ht="15">
      <c r="A620" s="13">
        <v>60358</v>
      </c>
      <c r="B620" s="63">
        <f>9.835 * CHOOSE(CONTROL!$C$22, $C$13, 100%, $E$13)</f>
        <v>9.8350000000000009</v>
      </c>
      <c r="C620" s="63">
        <f>9.835 * CHOOSE(CONTROL!$C$22, $C$13, 100%, $E$13)</f>
        <v>9.8350000000000009</v>
      </c>
      <c r="D620" s="63">
        <f>9.835 * CHOOSE(CONTROL!$C$22, $C$13, 100%, $E$13)</f>
        <v>9.8350000000000009</v>
      </c>
      <c r="E620" s="64">
        <f>11.5437 * CHOOSE(CONTROL!$C$22, $C$13, 100%, $E$13)</f>
        <v>11.543699999999999</v>
      </c>
      <c r="F620" s="64">
        <f>11.5437 * CHOOSE(CONTROL!$C$22, $C$13, 100%, $E$13)</f>
        <v>11.543699999999999</v>
      </c>
      <c r="G620" s="64">
        <f>11.5438 * CHOOSE(CONTROL!$C$22, $C$13, 100%, $E$13)</f>
        <v>11.543799999999999</v>
      </c>
      <c r="H620" s="64">
        <f>19.5374* CHOOSE(CONTROL!$C$22, $C$13, 100%, $E$13)</f>
        <v>19.537400000000002</v>
      </c>
      <c r="I620" s="64">
        <f>19.5374 * CHOOSE(CONTROL!$C$22, $C$13, 100%, $E$13)</f>
        <v>19.537400000000002</v>
      </c>
      <c r="J620" s="64">
        <f>11.5437 * CHOOSE(CONTROL!$C$22, $C$13, 100%, $E$13)</f>
        <v>11.543699999999999</v>
      </c>
      <c r="K620" s="64">
        <f>11.5438 * CHOOSE(CONTROL!$C$22, $C$13, 100%, $E$13)</f>
        <v>11.543799999999999</v>
      </c>
    </row>
    <row r="621" spans="1:11" ht="15">
      <c r="A621" s="13">
        <v>60388</v>
      </c>
      <c r="B621" s="63">
        <f>9.835 * CHOOSE(CONTROL!$C$22, $C$13, 100%, $E$13)</f>
        <v>9.8350000000000009</v>
      </c>
      <c r="C621" s="63">
        <f>9.835 * CHOOSE(CONTROL!$C$22, $C$13, 100%, $E$13)</f>
        <v>9.8350000000000009</v>
      </c>
      <c r="D621" s="63">
        <f>9.8431 * CHOOSE(CONTROL!$C$22, $C$13, 100%, $E$13)</f>
        <v>9.8430999999999997</v>
      </c>
      <c r="E621" s="64">
        <f>11.6059 * CHOOSE(CONTROL!$C$22, $C$13, 100%, $E$13)</f>
        <v>11.6059</v>
      </c>
      <c r="F621" s="64">
        <f>11.6059 * CHOOSE(CONTROL!$C$22, $C$13, 100%, $E$13)</f>
        <v>11.6059</v>
      </c>
      <c r="G621" s="64">
        <f>11.6157 * CHOOSE(CONTROL!$C$22, $C$13, 100%, $E$13)</f>
        <v>11.6157</v>
      </c>
      <c r="H621" s="64">
        <f>19.5781* CHOOSE(CONTROL!$C$22, $C$13, 100%, $E$13)</f>
        <v>19.578099999999999</v>
      </c>
      <c r="I621" s="64">
        <f>19.5879 * CHOOSE(CONTROL!$C$22, $C$13, 100%, $E$13)</f>
        <v>19.587900000000001</v>
      </c>
      <c r="J621" s="64">
        <f>11.6059 * CHOOSE(CONTROL!$C$22, $C$13, 100%, $E$13)</f>
        <v>11.6059</v>
      </c>
      <c r="K621" s="64">
        <f>11.6157 * CHOOSE(CONTROL!$C$22, $C$13, 100%, $E$13)</f>
        <v>11.6157</v>
      </c>
    </row>
    <row r="622" spans="1:11" ht="15">
      <c r="A622" s="13">
        <v>60419</v>
      </c>
      <c r="B622" s="63">
        <f>9.841 * CHOOSE(CONTROL!$C$22, $C$13, 100%, $E$13)</f>
        <v>9.8409999999999993</v>
      </c>
      <c r="C622" s="63">
        <f>9.841 * CHOOSE(CONTROL!$C$22, $C$13, 100%, $E$13)</f>
        <v>9.8409999999999993</v>
      </c>
      <c r="D622" s="63">
        <f>9.8492 * CHOOSE(CONTROL!$C$22, $C$13, 100%, $E$13)</f>
        <v>9.8491999999999997</v>
      </c>
      <c r="E622" s="64">
        <f>11.548 * CHOOSE(CONTROL!$C$22, $C$13, 100%, $E$13)</f>
        <v>11.548</v>
      </c>
      <c r="F622" s="64">
        <f>11.548 * CHOOSE(CONTROL!$C$22, $C$13, 100%, $E$13)</f>
        <v>11.548</v>
      </c>
      <c r="G622" s="64">
        <f>11.5578 * CHOOSE(CONTROL!$C$22, $C$13, 100%, $E$13)</f>
        <v>11.5578</v>
      </c>
      <c r="H622" s="64">
        <f>19.6189* CHOOSE(CONTROL!$C$22, $C$13, 100%, $E$13)</f>
        <v>19.6189</v>
      </c>
      <c r="I622" s="64">
        <f>19.6287 * CHOOSE(CONTROL!$C$22, $C$13, 100%, $E$13)</f>
        <v>19.628699999999998</v>
      </c>
      <c r="J622" s="64">
        <f>11.548 * CHOOSE(CONTROL!$C$22, $C$13, 100%, $E$13)</f>
        <v>11.548</v>
      </c>
      <c r="K622" s="64">
        <f>11.5578 * CHOOSE(CONTROL!$C$22, $C$13, 100%, $E$13)</f>
        <v>11.5578</v>
      </c>
    </row>
    <row r="623" spans="1:11" ht="15">
      <c r="A623" s="13">
        <v>60449</v>
      </c>
      <c r="B623" s="63">
        <f>9.9932 * CHOOSE(CONTROL!$C$22, $C$13, 100%, $E$13)</f>
        <v>9.9931999999999999</v>
      </c>
      <c r="C623" s="63">
        <f>9.9932 * CHOOSE(CONTROL!$C$22, $C$13, 100%, $E$13)</f>
        <v>9.9931999999999999</v>
      </c>
      <c r="D623" s="63">
        <f>10.0013 * CHOOSE(CONTROL!$C$22, $C$13, 100%, $E$13)</f>
        <v>10.001300000000001</v>
      </c>
      <c r="E623" s="64">
        <f>11.735 * CHOOSE(CONTROL!$C$22, $C$13, 100%, $E$13)</f>
        <v>11.734999999999999</v>
      </c>
      <c r="F623" s="64">
        <f>11.735 * CHOOSE(CONTROL!$C$22, $C$13, 100%, $E$13)</f>
        <v>11.734999999999999</v>
      </c>
      <c r="G623" s="64">
        <f>11.7448 * CHOOSE(CONTROL!$C$22, $C$13, 100%, $E$13)</f>
        <v>11.7448</v>
      </c>
      <c r="H623" s="64">
        <f>19.6597* CHOOSE(CONTROL!$C$22, $C$13, 100%, $E$13)</f>
        <v>19.659700000000001</v>
      </c>
      <c r="I623" s="64">
        <f>19.6696 * CHOOSE(CONTROL!$C$22, $C$13, 100%, $E$13)</f>
        <v>19.669599999999999</v>
      </c>
      <c r="J623" s="64">
        <f>11.735 * CHOOSE(CONTROL!$C$22, $C$13, 100%, $E$13)</f>
        <v>11.734999999999999</v>
      </c>
      <c r="K623" s="64">
        <f>11.7448 * CHOOSE(CONTROL!$C$22, $C$13, 100%, $E$13)</f>
        <v>11.7448</v>
      </c>
    </row>
    <row r="624" spans="1:11" ht="15">
      <c r="A624" s="13">
        <v>60480</v>
      </c>
      <c r="B624" s="63">
        <f>9.9999 * CHOOSE(CONTROL!$C$22, $C$13, 100%, $E$13)</f>
        <v>9.9999000000000002</v>
      </c>
      <c r="C624" s="63">
        <f>9.9999 * CHOOSE(CONTROL!$C$22, $C$13, 100%, $E$13)</f>
        <v>9.9999000000000002</v>
      </c>
      <c r="D624" s="63">
        <f>10.008 * CHOOSE(CONTROL!$C$22, $C$13, 100%, $E$13)</f>
        <v>10.007999999999999</v>
      </c>
      <c r="E624" s="64">
        <f>11.5532 * CHOOSE(CONTROL!$C$22, $C$13, 100%, $E$13)</f>
        <v>11.5532</v>
      </c>
      <c r="F624" s="64">
        <f>11.5532 * CHOOSE(CONTROL!$C$22, $C$13, 100%, $E$13)</f>
        <v>11.5532</v>
      </c>
      <c r="G624" s="64">
        <f>11.563 * CHOOSE(CONTROL!$C$22, $C$13, 100%, $E$13)</f>
        <v>11.563000000000001</v>
      </c>
      <c r="H624" s="64">
        <f>19.7007* CHOOSE(CONTROL!$C$22, $C$13, 100%, $E$13)</f>
        <v>19.700700000000001</v>
      </c>
      <c r="I624" s="64">
        <f>19.7105 * CHOOSE(CONTROL!$C$22, $C$13, 100%, $E$13)</f>
        <v>19.7105</v>
      </c>
      <c r="J624" s="64">
        <f>11.5532 * CHOOSE(CONTROL!$C$22, $C$13, 100%, $E$13)</f>
        <v>11.5532</v>
      </c>
      <c r="K624" s="64">
        <f>11.563 * CHOOSE(CONTROL!$C$22, $C$13, 100%, $E$13)</f>
        <v>11.563000000000001</v>
      </c>
    </row>
    <row r="625" spans="1:11" ht="15">
      <c r="A625" s="13">
        <v>60511</v>
      </c>
      <c r="B625" s="63">
        <f>9.9968 * CHOOSE(CONTROL!$C$22, $C$13, 100%, $E$13)</f>
        <v>9.9968000000000004</v>
      </c>
      <c r="C625" s="63">
        <f>9.9968 * CHOOSE(CONTROL!$C$22, $C$13, 100%, $E$13)</f>
        <v>9.9968000000000004</v>
      </c>
      <c r="D625" s="63">
        <f>10.005 * CHOOSE(CONTROL!$C$22, $C$13, 100%, $E$13)</f>
        <v>10.005000000000001</v>
      </c>
      <c r="E625" s="64">
        <f>11.5304 * CHOOSE(CONTROL!$C$22, $C$13, 100%, $E$13)</f>
        <v>11.5304</v>
      </c>
      <c r="F625" s="64">
        <f>11.5304 * CHOOSE(CONTROL!$C$22, $C$13, 100%, $E$13)</f>
        <v>11.5304</v>
      </c>
      <c r="G625" s="64">
        <f>11.5402 * CHOOSE(CONTROL!$C$22, $C$13, 100%, $E$13)</f>
        <v>11.5402</v>
      </c>
      <c r="H625" s="64">
        <f>19.7417* CHOOSE(CONTROL!$C$22, $C$13, 100%, $E$13)</f>
        <v>19.741700000000002</v>
      </c>
      <c r="I625" s="64">
        <f>19.7516 * CHOOSE(CONTROL!$C$22, $C$13, 100%, $E$13)</f>
        <v>19.7516</v>
      </c>
      <c r="J625" s="64">
        <f>11.5304 * CHOOSE(CONTROL!$C$22, $C$13, 100%, $E$13)</f>
        <v>11.5304</v>
      </c>
      <c r="K625" s="64">
        <f>11.5402 * CHOOSE(CONTROL!$C$22, $C$13, 100%, $E$13)</f>
        <v>11.5402</v>
      </c>
    </row>
    <row r="626" spans="1:11" ht="15">
      <c r="A626" s="13">
        <v>60541</v>
      </c>
      <c r="B626" s="63">
        <f>10.0114 * CHOOSE(CONTROL!$C$22, $C$13, 100%, $E$13)</f>
        <v>10.0114</v>
      </c>
      <c r="C626" s="63">
        <f>10.0114 * CHOOSE(CONTROL!$C$22, $C$13, 100%, $E$13)</f>
        <v>10.0114</v>
      </c>
      <c r="D626" s="63">
        <f>10.0114 * CHOOSE(CONTROL!$C$22, $C$13, 100%, $E$13)</f>
        <v>10.0114</v>
      </c>
      <c r="E626" s="64">
        <f>11.5998 * CHOOSE(CONTROL!$C$22, $C$13, 100%, $E$13)</f>
        <v>11.5998</v>
      </c>
      <c r="F626" s="64">
        <f>11.5998 * CHOOSE(CONTROL!$C$22, $C$13, 100%, $E$13)</f>
        <v>11.5998</v>
      </c>
      <c r="G626" s="64">
        <f>11.5999 * CHOOSE(CONTROL!$C$22, $C$13, 100%, $E$13)</f>
        <v>11.5999</v>
      </c>
      <c r="H626" s="64">
        <f>19.7829* CHOOSE(CONTROL!$C$22, $C$13, 100%, $E$13)</f>
        <v>19.782900000000001</v>
      </c>
      <c r="I626" s="64">
        <f>19.7829 * CHOOSE(CONTROL!$C$22, $C$13, 100%, $E$13)</f>
        <v>19.782900000000001</v>
      </c>
      <c r="J626" s="64">
        <f>11.5998 * CHOOSE(CONTROL!$C$22, $C$13, 100%, $E$13)</f>
        <v>11.5998</v>
      </c>
      <c r="K626" s="64">
        <f>11.5999 * CHOOSE(CONTROL!$C$22, $C$13, 100%, $E$13)</f>
        <v>11.5999</v>
      </c>
    </row>
    <row r="627" spans="1:11" ht="15">
      <c r="A627" s="13">
        <v>60572</v>
      </c>
      <c r="B627" s="63">
        <f>10.0144 * CHOOSE(CONTROL!$C$22, $C$13, 100%, $E$13)</f>
        <v>10.0144</v>
      </c>
      <c r="C627" s="63">
        <f>10.0144 * CHOOSE(CONTROL!$C$22, $C$13, 100%, $E$13)</f>
        <v>10.0144</v>
      </c>
      <c r="D627" s="63">
        <f>10.0144 * CHOOSE(CONTROL!$C$22, $C$13, 100%, $E$13)</f>
        <v>10.0144</v>
      </c>
      <c r="E627" s="64">
        <f>11.6434 * CHOOSE(CONTROL!$C$22, $C$13, 100%, $E$13)</f>
        <v>11.6434</v>
      </c>
      <c r="F627" s="64">
        <f>11.6434 * CHOOSE(CONTROL!$C$22, $C$13, 100%, $E$13)</f>
        <v>11.6434</v>
      </c>
      <c r="G627" s="64">
        <f>11.6434 * CHOOSE(CONTROL!$C$22, $C$13, 100%, $E$13)</f>
        <v>11.6434</v>
      </c>
      <c r="H627" s="64">
        <f>19.8241* CHOOSE(CONTROL!$C$22, $C$13, 100%, $E$13)</f>
        <v>19.824100000000001</v>
      </c>
      <c r="I627" s="64">
        <f>19.8242 * CHOOSE(CONTROL!$C$22, $C$13, 100%, $E$13)</f>
        <v>19.824200000000001</v>
      </c>
      <c r="J627" s="64">
        <f>11.6434 * CHOOSE(CONTROL!$C$22, $C$13, 100%, $E$13)</f>
        <v>11.6434</v>
      </c>
      <c r="K627" s="64">
        <f>11.6434 * CHOOSE(CONTROL!$C$22, $C$13, 100%, $E$13)</f>
        <v>11.6434</v>
      </c>
    </row>
    <row r="628" spans="1:11" ht="15">
      <c r="A628" s="13">
        <v>60602</v>
      </c>
      <c r="B628" s="63">
        <f>10.0144 * CHOOSE(CONTROL!$C$22, $C$13, 100%, $E$13)</f>
        <v>10.0144</v>
      </c>
      <c r="C628" s="63">
        <f>10.0144 * CHOOSE(CONTROL!$C$22, $C$13, 100%, $E$13)</f>
        <v>10.0144</v>
      </c>
      <c r="D628" s="63">
        <f>10.0144 * CHOOSE(CONTROL!$C$22, $C$13, 100%, $E$13)</f>
        <v>10.0144</v>
      </c>
      <c r="E628" s="64">
        <f>11.5398 * CHOOSE(CONTROL!$C$22, $C$13, 100%, $E$13)</f>
        <v>11.5398</v>
      </c>
      <c r="F628" s="64">
        <f>11.5398 * CHOOSE(CONTROL!$C$22, $C$13, 100%, $E$13)</f>
        <v>11.5398</v>
      </c>
      <c r="G628" s="64">
        <f>11.5399 * CHOOSE(CONTROL!$C$22, $C$13, 100%, $E$13)</f>
        <v>11.539899999999999</v>
      </c>
      <c r="H628" s="64">
        <f>19.8654* CHOOSE(CONTROL!$C$22, $C$13, 100%, $E$13)</f>
        <v>19.865400000000001</v>
      </c>
      <c r="I628" s="64">
        <f>19.8655 * CHOOSE(CONTROL!$C$22, $C$13, 100%, $E$13)</f>
        <v>19.865500000000001</v>
      </c>
      <c r="J628" s="64">
        <f>11.5398 * CHOOSE(CONTROL!$C$22, $C$13, 100%, $E$13)</f>
        <v>11.5398</v>
      </c>
      <c r="K628" s="64">
        <f>11.5399 * CHOOSE(CONTROL!$C$22, $C$13, 100%, $E$13)</f>
        <v>11.539899999999999</v>
      </c>
    </row>
    <row r="629" spans="1:11" ht="15">
      <c r="A629" s="13">
        <v>60633</v>
      </c>
      <c r="B629" s="63">
        <f>10.074 * CHOOSE(CONTROL!$C$22, $C$13, 100%, $E$13)</f>
        <v>10.074</v>
      </c>
      <c r="C629" s="63">
        <f>10.074 * CHOOSE(CONTROL!$C$22, $C$13, 100%, $E$13)</f>
        <v>10.074</v>
      </c>
      <c r="D629" s="63">
        <f>10.074 * CHOOSE(CONTROL!$C$22, $C$13, 100%, $E$13)</f>
        <v>10.074</v>
      </c>
      <c r="E629" s="64">
        <f>11.6826 * CHOOSE(CONTROL!$C$22, $C$13, 100%, $E$13)</f>
        <v>11.682600000000001</v>
      </c>
      <c r="F629" s="64">
        <f>11.6826 * CHOOSE(CONTROL!$C$22, $C$13, 100%, $E$13)</f>
        <v>11.682600000000001</v>
      </c>
      <c r="G629" s="64">
        <f>11.6827 * CHOOSE(CONTROL!$C$22, $C$13, 100%, $E$13)</f>
        <v>11.682700000000001</v>
      </c>
      <c r="H629" s="64">
        <f>19.8617* CHOOSE(CONTROL!$C$22, $C$13, 100%, $E$13)</f>
        <v>19.861699999999999</v>
      </c>
      <c r="I629" s="64">
        <f>19.8617 * CHOOSE(CONTROL!$C$22, $C$13, 100%, $E$13)</f>
        <v>19.861699999999999</v>
      </c>
      <c r="J629" s="64">
        <f>11.6826 * CHOOSE(CONTROL!$C$22, $C$13, 100%, $E$13)</f>
        <v>11.682600000000001</v>
      </c>
      <c r="K629" s="64">
        <f>11.6827 * CHOOSE(CONTROL!$C$22, $C$13, 100%, $E$13)</f>
        <v>11.682700000000001</v>
      </c>
    </row>
    <row r="630" spans="1:11" ht="15">
      <c r="A630" s="13">
        <v>60664</v>
      </c>
      <c r="B630" s="63">
        <f>10.071 * CHOOSE(CONTROL!$C$22, $C$13, 100%, $E$13)</f>
        <v>10.071</v>
      </c>
      <c r="C630" s="63">
        <f>10.071 * CHOOSE(CONTROL!$C$22, $C$13, 100%, $E$13)</f>
        <v>10.071</v>
      </c>
      <c r="D630" s="63">
        <f>10.071 * CHOOSE(CONTROL!$C$22, $C$13, 100%, $E$13)</f>
        <v>10.071</v>
      </c>
      <c r="E630" s="64">
        <f>11.4799 * CHOOSE(CONTROL!$C$22, $C$13, 100%, $E$13)</f>
        <v>11.479900000000001</v>
      </c>
      <c r="F630" s="64">
        <f>11.4799 * CHOOSE(CONTROL!$C$22, $C$13, 100%, $E$13)</f>
        <v>11.479900000000001</v>
      </c>
      <c r="G630" s="64">
        <f>11.48 * CHOOSE(CONTROL!$C$22, $C$13, 100%, $E$13)</f>
        <v>11.48</v>
      </c>
      <c r="H630" s="64">
        <f>19.903* CHOOSE(CONTROL!$C$22, $C$13, 100%, $E$13)</f>
        <v>19.902999999999999</v>
      </c>
      <c r="I630" s="64">
        <f>19.9031 * CHOOSE(CONTROL!$C$22, $C$13, 100%, $E$13)</f>
        <v>19.903099999999998</v>
      </c>
      <c r="J630" s="64">
        <f>11.4799 * CHOOSE(CONTROL!$C$22, $C$13, 100%, $E$13)</f>
        <v>11.479900000000001</v>
      </c>
      <c r="K630" s="64">
        <f>11.48 * CHOOSE(CONTROL!$C$22, $C$13, 100%, $E$13)</f>
        <v>11.48</v>
      </c>
    </row>
    <row r="631" spans="1:11" ht="15">
      <c r="A631" s="13">
        <v>60692</v>
      </c>
      <c r="B631" s="63">
        <f>10.068 * CHOOSE(CONTROL!$C$22, $C$13, 100%, $E$13)</f>
        <v>10.068</v>
      </c>
      <c r="C631" s="63">
        <f>10.068 * CHOOSE(CONTROL!$C$22, $C$13, 100%, $E$13)</f>
        <v>10.068</v>
      </c>
      <c r="D631" s="63">
        <f>10.068 * CHOOSE(CONTROL!$C$22, $C$13, 100%, $E$13)</f>
        <v>10.068</v>
      </c>
      <c r="E631" s="64">
        <f>11.6359 * CHOOSE(CONTROL!$C$22, $C$13, 100%, $E$13)</f>
        <v>11.635899999999999</v>
      </c>
      <c r="F631" s="64">
        <f>11.6359 * CHOOSE(CONTROL!$C$22, $C$13, 100%, $E$13)</f>
        <v>11.635899999999999</v>
      </c>
      <c r="G631" s="64">
        <f>11.636 * CHOOSE(CONTROL!$C$22, $C$13, 100%, $E$13)</f>
        <v>11.635999999999999</v>
      </c>
      <c r="H631" s="64">
        <f>19.9445* CHOOSE(CONTROL!$C$22, $C$13, 100%, $E$13)</f>
        <v>19.944500000000001</v>
      </c>
      <c r="I631" s="64">
        <f>19.9446 * CHOOSE(CONTROL!$C$22, $C$13, 100%, $E$13)</f>
        <v>19.944600000000001</v>
      </c>
      <c r="J631" s="64">
        <f>11.6359 * CHOOSE(CONTROL!$C$22, $C$13, 100%, $E$13)</f>
        <v>11.635899999999999</v>
      </c>
      <c r="K631" s="64">
        <f>11.636 * CHOOSE(CONTROL!$C$22, $C$13, 100%, $E$13)</f>
        <v>11.635999999999999</v>
      </c>
    </row>
    <row r="632" spans="1:11" ht="15">
      <c r="A632" s="13">
        <v>60723</v>
      </c>
      <c r="B632" s="63">
        <f>10.0707 * CHOOSE(CONTROL!$C$22, $C$13, 100%, $E$13)</f>
        <v>10.0707</v>
      </c>
      <c r="C632" s="63">
        <f>10.0707 * CHOOSE(CONTROL!$C$22, $C$13, 100%, $E$13)</f>
        <v>10.0707</v>
      </c>
      <c r="D632" s="63">
        <f>10.0707 * CHOOSE(CONTROL!$C$22, $C$13, 100%, $E$13)</f>
        <v>10.0707</v>
      </c>
      <c r="E632" s="64">
        <f>11.8016 * CHOOSE(CONTROL!$C$22, $C$13, 100%, $E$13)</f>
        <v>11.801600000000001</v>
      </c>
      <c r="F632" s="64">
        <f>11.8016 * CHOOSE(CONTROL!$C$22, $C$13, 100%, $E$13)</f>
        <v>11.801600000000001</v>
      </c>
      <c r="G632" s="64">
        <f>11.8017 * CHOOSE(CONTROL!$C$22, $C$13, 100%, $E$13)</f>
        <v>11.8017</v>
      </c>
      <c r="H632" s="64">
        <f>19.986* CHOOSE(CONTROL!$C$22, $C$13, 100%, $E$13)</f>
        <v>19.986000000000001</v>
      </c>
      <c r="I632" s="64">
        <f>19.9861 * CHOOSE(CONTROL!$C$22, $C$13, 100%, $E$13)</f>
        <v>19.9861</v>
      </c>
      <c r="J632" s="64">
        <f>11.8016 * CHOOSE(CONTROL!$C$22, $C$13, 100%, $E$13)</f>
        <v>11.801600000000001</v>
      </c>
      <c r="K632" s="64">
        <f>11.8017 * CHOOSE(CONTROL!$C$22, $C$13, 100%, $E$13)</f>
        <v>11.8017</v>
      </c>
    </row>
    <row r="633" spans="1:11" ht="15">
      <c r="A633" s="13">
        <v>60753</v>
      </c>
      <c r="B633" s="63">
        <f>10.0707 * CHOOSE(CONTROL!$C$22, $C$13, 100%, $E$13)</f>
        <v>10.0707</v>
      </c>
      <c r="C633" s="63">
        <f>10.0707 * CHOOSE(CONTROL!$C$22, $C$13, 100%, $E$13)</f>
        <v>10.0707</v>
      </c>
      <c r="D633" s="63">
        <f>10.0788 * CHOOSE(CONTROL!$C$22, $C$13, 100%, $E$13)</f>
        <v>10.078799999999999</v>
      </c>
      <c r="E633" s="64">
        <f>11.8653 * CHOOSE(CONTROL!$C$22, $C$13, 100%, $E$13)</f>
        <v>11.8653</v>
      </c>
      <c r="F633" s="64">
        <f>11.8653 * CHOOSE(CONTROL!$C$22, $C$13, 100%, $E$13)</f>
        <v>11.8653</v>
      </c>
      <c r="G633" s="64">
        <f>11.8751 * CHOOSE(CONTROL!$C$22, $C$13, 100%, $E$13)</f>
        <v>11.8751</v>
      </c>
      <c r="H633" s="64">
        <f>20.0277* CHOOSE(CONTROL!$C$22, $C$13, 100%, $E$13)</f>
        <v>20.027699999999999</v>
      </c>
      <c r="I633" s="64">
        <f>20.0375 * CHOOSE(CONTROL!$C$22, $C$13, 100%, $E$13)</f>
        <v>20.037500000000001</v>
      </c>
      <c r="J633" s="64">
        <f>11.8653 * CHOOSE(CONTROL!$C$22, $C$13, 100%, $E$13)</f>
        <v>11.8653</v>
      </c>
      <c r="K633" s="64">
        <f>11.8751 * CHOOSE(CONTROL!$C$22, $C$13, 100%, $E$13)</f>
        <v>11.8751</v>
      </c>
    </row>
    <row r="634" spans="1:11" ht="15">
      <c r="A634" s="13">
        <v>60784</v>
      </c>
      <c r="B634" s="63">
        <f>10.0768 * CHOOSE(CONTROL!$C$22, $C$13, 100%, $E$13)</f>
        <v>10.0768</v>
      </c>
      <c r="C634" s="63">
        <f>10.0768 * CHOOSE(CONTROL!$C$22, $C$13, 100%, $E$13)</f>
        <v>10.0768</v>
      </c>
      <c r="D634" s="63">
        <f>10.0849 * CHOOSE(CONTROL!$C$22, $C$13, 100%, $E$13)</f>
        <v>10.084899999999999</v>
      </c>
      <c r="E634" s="64">
        <f>11.8058 * CHOOSE(CONTROL!$C$22, $C$13, 100%, $E$13)</f>
        <v>11.8058</v>
      </c>
      <c r="F634" s="64">
        <f>11.8058 * CHOOSE(CONTROL!$C$22, $C$13, 100%, $E$13)</f>
        <v>11.8058</v>
      </c>
      <c r="G634" s="64">
        <f>11.8156 * CHOOSE(CONTROL!$C$22, $C$13, 100%, $E$13)</f>
        <v>11.8156</v>
      </c>
      <c r="H634" s="64">
        <f>20.0694* CHOOSE(CONTROL!$C$22, $C$13, 100%, $E$13)</f>
        <v>20.069400000000002</v>
      </c>
      <c r="I634" s="64">
        <f>20.0792 * CHOOSE(CONTROL!$C$22, $C$13, 100%, $E$13)</f>
        <v>20.0792</v>
      </c>
      <c r="J634" s="64">
        <f>11.8058 * CHOOSE(CONTROL!$C$22, $C$13, 100%, $E$13)</f>
        <v>11.8058</v>
      </c>
      <c r="K634" s="64">
        <f>11.8156 * CHOOSE(CONTROL!$C$22, $C$13, 100%, $E$13)</f>
        <v>11.8156</v>
      </c>
    </row>
    <row r="635" spans="1:11" ht="15">
      <c r="A635" s="13">
        <v>60814</v>
      </c>
      <c r="B635" s="63">
        <f>10.2324 * CHOOSE(CONTROL!$C$22, $C$13, 100%, $E$13)</f>
        <v>10.2324</v>
      </c>
      <c r="C635" s="63">
        <f>10.2324 * CHOOSE(CONTROL!$C$22, $C$13, 100%, $E$13)</f>
        <v>10.2324</v>
      </c>
      <c r="D635" s="63">
        <f>10.2405 * CHOOSE(CONTROL!$C$22, $C$13, 100%, $E$13)</f>
        <v>10.240500000000001</v>
      </c>
      <c r="E635" s="64">
        <f>11.9967 * CHOOSE(CONTROL!$C$22, $C$13, 100%, $E$13)</f>
        <v>11.996700000000001</v>
      </c>
      <c r="F635" s="64">
        <f>11.9967 * CHOOSE(CONTROL!$C$22, $C$13, 100%, $E$13)</f>
        <v>11.996700000000001</v>
      </c>
      <c r="G635" s="64">
        <f>12.0066 * CHOOSE(CONTROL!$C$22, $C$13, 100%, $E$13)</f>
        <v>12.006600000000001</v>
      </c>
      <c r="H635" s="64">
        <f>20.1112* CHOOSE(CONTROL!$C$22, $C$13, 100%, $E$13)</f>
        <v>20.1112</v>
      </c>
      <c r="I635" s="64">
        <f>20.1211 * CHOOSE(CONTROL!$C$22, $C$13, 100%, $E$13)</f>
        <v>20.121099999999998</v>
      </c>
      <c r="J635" s="64">
        <f>11.9967 * CHOOSE(CONTROL!$C$22, $C$13, 100%, $E$13)</f>
        <v>11.996700000000001</v>
      </c>
      <c r="K635" s="64">
        <f>12.0066 * CHOOSE(CONTROL!$C$22, $C$13, 100%, $E$13)</f>
        <v>12.006600000000001</v>
      </c>
    </row>
    <row r="636" spans="1:11" ht="15">
      <c r="A636" s="13">
        <v>60845</v>
      </c>
      <c r="B636" s="63">
        <f>10.2391 * CHOOSE(CONTROL!$C$22, $C$13, 100%, $E$13)</f>
        <v>10.239100000000001</v>
      </c>
      <c r="C636" s="63">
        <f>10.2391 * CHOOSE(CONTROL!$C$22, $C$13, 100%, $E$13)</f>
        <v>10.239100000000001</v>
      </c>
      <c r="D636" s="63">
        <f>10.2472 * CHOOSE(CONTROL!$C$22, $C$13, 100%, $E$13)</f>
        <v>10.247199999999999</v>
      </c>
      <c r="E636" s="64">
        <f>11.8103 * CHOOSE(CONTROL!$C$22, $C$13, 100%, $E$13)</f>
        <v>11.8103</v>
      </c>
      <c r="F636" s="64">
        <f>11.8103 * CHOOSE(CONTROL!$C$22, $C$13, 100%, $E$13)</f>
        <v>11.8103</v>
      </c>
      <c r="G636" s="64">
        <f>11.8201 * CHOOSE(CONTROL!$C$22, $C$13, 100%, $E$13)</f>
        <v>11.8201</v>
      </c>
      <c r="H636" s="64">
        <f>20.1531* CHOOSE(CONTROL!$C$22, $C$13, 100%, $E$13)</f>
        <v>20.153099999999998</v>
      </c>
      <c r="I636" s="64">
        <f>20.163 * CHOOSE(CONTROL!$C$22, $C$13, 100%, $E$13)</f>
        <v>20.163</v>
      </c>
      <c r="J636" s="64">
        <f>11.8103 * CHOOSE(CONTROL!$C$22, $C$13, 100%, $E$13)</f>
        <v>11.8103</v>
      </c>
      <c r="K636" s="64">
        <f>11.8201 * CHOOSE(CONTROL!$C$22, $C$13, 100%, $E$13)</f>
        <v>11.8201</v>
      </c>
    </row>
    <row r="637" spans="1:11" ht="15">
      <c r="A637" s="13">
        <v>60876</v>
      </c>
      <c r="B637" s="63">
        <f>10.236 * CHOOSE(CONTROL!$C$22, $C$13, 100%, $E$13)</f>
        <v>10.236000000000001</v>
      </c>
      <c r="C637" s="63">
        <f>10.236 * CHOOSE(CONTROL!$C$22, $C$13, 100%, $E$13)</f>
        <v>10.236000000000001</v>
      </c>
      <c r="D637" s="63">
        <f>10.2441 * CHOOSE(CONTROL!$C$22, $C$13, 100%, $E$13)</f>
        <v>10.2441</v>
      </c>
      <c r="E637" s="64">
        <f>11.7869 * CHOOSE(CONTROL!$C$22, $C$13, 100%, $E$13)</f>
        <v>11.786899999999999</v>
      </c>
      <c r="F637" s="64">
        <f>11.7869 * CHOOSE(CONTROL!$C$22, $C$13, 100%, $E$13)</f>
        <v>11.786899999999999</v>
      </c>
      <c r="G637" s="64">
        <f>11.7968 * CHOOSE(CONTROL!$C$22, $C$13, 100%, $E$13)</f>
        <v>11.796799999999999</v>
      </c>
      <c r="H637" s="64">
        <f>20.1951* CHOOSE(CONTROL!$C$22, $C$13, 100%, $E$13)</f>
        <v>20.1951</v>
      </c>
      <c r="I637" s="64">
        <f>20.2049 * CHOOSE(CONTROL!$C$22, $C$13, 100%, $E$13)</f>
        <v>20.204899999999999</v>
      </c>
      <c r="J637" s="64">
        <f>11.7869 * CHOOSE(CONTROL!$C$22, $C$13, 100%, $E$13)</f>
        <v>11.786899999999999</v>
      </c>
      <c r="K637" s="64">
        <f>11.7968 * CHOOSE(CONTROL!$C$22, $C$13, 100%, $E$13)</f>
        <v>11.796799999999999</v>
      </c>
    </row>
    <row r="638" spans="1:11" ht="15">
      <c r="A638" s="13">
        <v>60906</v>
      </c>
      <c r="B638" s="63">
        <f>10.2513 * CHOOSE(CONTROL!$C$22, $C$13, 100%, $E$13)</f>
        <v>10.251300000000001</v>
      </c>
      <c r="C638" s="63">
        <f>10.2513 * CHOOSE(CONTROL!$C$22, $C$13, 100%, $E$13)</f>
        <v>10.251300000000001</v>
      </c>
      <c r="D638" s="63">
        <f>10.2513 * CHOOSE(CONTROL!$C$22, $C$13, 100%, $E$13)</f>
        <v>10.251300000000001</v>
      </c>
      <c r="E638" s="64">
        <f>11.8585 * CHOOSE(CONTROL!$C$22, $C$13, 100%, $E$13)</f>
        <v>11.858499999999999</v>
      </c>
      <c r="F638" s="64">
        <f>11.8585 * CHOOSE(CONTROL!$C$22, $C$13, 100%, $E$13)</f>
        <v>11.858499999999999</v>
      </c>
      <c r="G638" s="64">
        <f>11.8585 * CHOOSE(CONTROL!$C$22, $C$13, 100%, $E$13)</f>
        <v>11.858499999999999</v>
      </c>
      <c r="H638" s="64">
        <f>20.2372* CHOOSE(CONTROL!$C$22, $C$13, 100%, $E$13)</f>
        <v>20.237200000000001</v>
      </c>
      <c r="I638" s="64">
        <f>20.2373 * CHOOSE(CONTROL!$C$22, $C$13, 100%, $E$13)</f>
        <v>20.237300000000001</v>
      </c>
      <c r="J638" s="64">
        <f>11.8585 * CHOOSE(CONTROL!$C$22, $C$13, 100%, $E$13)</f>
        <v>11.858499999999999</v>
      </c>
      <c r="K638" s="64">
        <f>11.8585 * CHOOSE(CONTROL!$C$22, $C$13, 100%, $E$13)</f>
        <v>11.858499999999999</v>
      </c>
    </row>
    <row r="639" spans="1:11" ht="15">
      <c r="A639" s="13">
        <v>60937</v>
      </c>
      <c r="B639" s="63">
        <f>10.2544 * CHOOSE(CONTROL!$C$22, $C$13, 100%, $E$13)</f>
        <v>10.2544</v>
      </c>
      <c r="C639" s="63">
        <f>10.2544 * CHOOSE(CONTROL!$C$22, $C$13, 100%, $E$13)</f>
        <v>10.2544</v>
      </c>
      <c r="D639" s="63">
        <f>10.2544 * CHOOSE(CONTROL!$C$22, $C$13, 100%, $E$13)</f>
        <v>10.2544</v>
      </c>
      <c r="E639" s="64">
        <f>11.903 * CHOOSE(CONTROL!$C$22, $C$13, 100%, $E$13)</f>
        <v>11.903</v>
      </c>
      <c r="F639" s="64">
        <f>11.903 * CHOOSE(CONTROL!$C$22, $C$13, 100%, $E$13)</f>
        <v>11.903</v>
      </c>
      <c r="G639" s="64">
        <f>11.9031 * CHOOSE(CONTROL!$C$22, $C$13, 100%, $E$13)</f>
        <v>11.9031</v>
      </c>
      <c r="H639" s="64">
        <f>20.2793* CHOOSE(CONTROL!$C$22, $C$13, 100%, $E$13)</f>
        <v>20.279299999999999</v>
      </c>
      <c r="I639" s="64">
        <f>20.2794 * CHOOSE(CONTROL!$C$22, $C$13, 100%, $E$13)</f>
        <v>20.279399999999999</v>
      </c>
      <c r="J639" s="64">
        <f>11.903 * CHOOSE(CONTROL!$C$22, $C$13, 100%, $E$13)</f>
        <v>11.903</v>
      </c>
      <c r="K639" s="64">
        <f>11.9031 * CHOOSE(CONTROL!$C$22, $C$13, 100%, $E$13)</f>
        <v>11.9031</v>
      </c>
    </row>
    <row r="640" spans="1:11" ht="15">
      <c r="A640" s="13">
        <v>60967</v>
      </c>
      <c r="B640" s="63">
        <f>10.2544 * CHOOSE(CONTROL!$C$22, $C$13, 100%, $E$13)</f>
        <v>10.2544</v>
      </c>
      <c r="C640" s="63">
        <f>10.2544 * CHOOSE(CONTROL!$C$22, $C$13, 100%, $E$13)</f>
        <v>10.2544</v>
      </c>
      <c r="D640" s="63">
        <f>10.2544 * CHOOSE(CONTROL!$C$22, $C$13, 100%, $E$13)</f>
        <v>10.2544</v>
      </c>
      <c r="E640" s="64">
        <f>11.7969 * CHOOSE(CONTROL!$C$22, $C$13, 100%, $E$13)</f>
        <v>11.796900000000001</v>
      </c>
      <c r="F640" s="64">
        <f>11.7969 * CHOOSE(CONTROL!$C$22, $C$13, 100%, $E$13)</f>
        <v>11.796900000000001</v>
      </c>
      <c r="G640" s="64">
        <f>11.797 * CHOOSE(CONTROL!$C$22, $C$13, 100%, $E$13)</f>
        <v>11.797000000000001</v>
      </c>
      <c r="H640" s="64">
        <f>20.3216* CHOOSE(CONTROL!$C$22, $C$13, 100%, $E$13)</f>
        <v>20.3216</v>
      </c>
      <c r="I640" s="64">
        <f>20.3217 * CHOOSE(CONTROL!$C$22, $C$13, 100%, $E$13)</f>
        <v>20.3217</v>
      </c>
      <c r="J640" s="64">
        <f>11.7969 * CHOOSE(CONTROL!$C$22, $C$13, 100%, $E$13)</f>
        <v>11.796900000000001</v>
      </c>
      <c r="K640" s="64">
        <f>11.797 * CHOOSE(CONTROL!$C$22, $C$13, 100%, $E$13)</f>
        <v>11.797000000000001</v>
      </c>
    </row>
    <row r="641" spans="1:11" ht="15">
      <c r="A641" s="13">
        <v>60998</v>
      </c>
      <c r="B641" s="63">
        <f>10.3096 * CHOOSE(CONTROL!$C$22, $C$13, 100%, $E$13)</f>
        <v>10.3096</v>
      </c>
      <c r="C641" s="63">
        <f>10.3096 * CHOOSE(CONTROL!$C$22, $C$13, 100%, $E$13)</f>
        <v>10.3096</v>
      </c>
      <c r="D641" s="63">
        <f>10.3096 * CHOOSE(CONTROL!$C$22, $C$13, 100%, $E$13)</f>
        <v>10.3096</v>
      </c>
      <c r="E641" s="64">
        <f>11.9374 * CHOOSE(CONTROL!$C$22, $C$13, 100%, $E$13)</f>
        <v>11.9374</v>
      </c>
      <c r="F641" s="64">
        <f>11.9374 * CHOOSE(CONTROL!$C$22, $C$13, 100%, $E$13)</f>
        <v>11.9374</v>
      </c>
      <c r="G641" s="64">
        <f>11.9374 * CHOOSE(CONTROL!$C$22, $C$13, 100%, $E$13)</f>
        <v>11.9374</v>
      </c>
      <c r="H641" s="64">
        <f>20.3075* CHOOSE(CONTROL!$C$22, $C$13, 100%, $E$13)</f>
        <v>20.307500000000001</v>
      </c>
      <c r="I641" s="64">
        <f>20.3076 * CHOOSE(CONTROL!$C$22, $C$13, 100%, $E$13)</f>
        <v>20.307600000000001</v>
      </c>
      <c r="J641" s="64">
        <f>11.9374 * CHOOSE(CONTROL!$C$22, $C$13, 100%, $E$13)</f>
        <v>11.9374</v>
      </c>
      <c r="K641" s="64">
        <f>11.9374 * CHOOSE(CONTROL!$C$22, $C$13, 100%, $E$13)</f>
        <v>11.9374</v>
      </c>
    </row>
    <row r="642" spans="1:11" ht="15">
      <c r="A642" s="13">
        <v>61029</v>
      </c>
      <c r="B642" s="63">
        <f>10.3066 * CHOOSE(CONTROL!$C$22, $C$13, 100%, $E$13)</f>
        <v>10.3066</v>
      </c>
      <c r="C642" s="63">
        <f>10.3066 * CHOOSE(CONTROL!$C$22, $C$13, 100%, $E$13)</f>
        <v>10.3066</v>
      </c>
      <c r="D642" s="63">
        <f>10.3066 * CHOOSE(CONTROL!$C$22, $C$13, 100%, $E$13)</f>
        <v>10.3066</v>
      </c>
      <c r="E642" s="64">
        <f>11.7297 * CHOOSE(CONTROL!$C$22, $C$13, 100%, $E$13)</f>
        <v>11.729699999999999</v>
      </c>
      <c r="F642" s="64">
        <f>11.7297 * CHOOSE(CONTROL!$C$22, $C$13, 100%, $E$13)</f>
        <v>11.729699999999999</v>
      </c>
      <c r="G642" s="64">
        <f>11.7297 * CHOOSE(CONTROL!$C$22, $C$13, 100%, $E$13)</f>
        <v>11.729699999999999</v>
      </c>
      <c r="H642" s="64">
        <f>20.3499* CHOOSE(CONTROL!$C$22, $C$13, 100%, $E$13)</f>
        <v>20.349900000000002</v>
      </c>
      <c r="I642" s="64">
        <f>20.3499 * CHOOSE(CONTROL!$C$22, $C$13, 100%, $E$13)</f>
        <v>20.349900000000002</v>
      </c>
      <c r="J642" s="64">
        <f>11.7297 * CHOOSE(CONTROL!$C$22, $C$13, 100%, $E$13)</f>
        <v>11.729699999999999</v>
      </c>
      <c r="K642" s="64">
        <f>11.7297 * CHOOSE(CONTROL!$C$22, $C$13, 100%, $E$13)</f>
        <v>11.729699999999999</v>
      </c>
    </row>
    <row r="643" spans="1:11" ht="15">
      <c r="A643" s="13">
        <v>61057</v>
      </c>
      <c r="B643" s="63">
        <f>10.3035 * CHOOSE(CONTROL!$C$22, $C$13, 100%, $E$13)</f>
        <v>10.3035</v>
      </c>
      <c r="C643" s="63">
        <f>10.3035 * CHOOSE(CONTROL!$C$22, $C$13, 100%, $E$13)</f>
        <v>10.3035</v>
      </c>
      <c r="D643" s="63">
        <f>10.3035 * CHOOSE(CONTROL!$C$22, $C$13, 100%, $E$13)</f>
        <v>10.3035</v>
      </c>
      <c r="E643" s="64">
        <f>11.8896 * CHOOSE(CONTROL!$C$22, $C$13, 100%, $E$13)</f>
        <v>11.8896</v>
      </c>
      <c r="F643" s="64">
        <f>11.8896 * CHOOSE(CONTROL!$C$22, $C$13, 100%, $E$13)</f>
        <v>11.8896</v>
      </c>
      <c r="G643" s="64">
        <f>11.8897 * CHOOSE(CONTROL!$C$22, $C$13, 100%, $E$13)</f>
        <v>11.889699999999999</v>
      </c>
      <c r="H643" s="64">
        <f>20.3922* CHOOSE(CONTROL!$C$22, $C$13, 100%, $E$13)</f>
        <v>20.392199999999999</v>
      </c>
      <c r="I643" s="64">
        <f>20.3923 * CHOOSE(CONTROL!$C$22, $C$13, 100%, $E$13)</f>
        <v>20.392299999999999</v>
      </c>
      <c r="J643" s="64">
        <f>11.8896 * CHOOSE(CONTROL!$C$22, $C$13, 100%, $E$13)</f>
        <v>11.8896</v>
      </c>
      <c r="K643" s="64">
        <f>11.8897 * CHOOSE(CONTROL!$C$22, $C$13, 100%, $E$13)</f>
        <v>11.889699999999999</v>
      </c>
    </row>
    <row r="644" spans="1:11" ht="15">
      <c r="A644" s="13">
        <v>61088</v>
      </c>
      <c r="B644" s="63">
        <f>10.3065 * CHOOSE(CONTROL!$C$22, $C$13, 100%, $E$13)</f>
        <v>10.3065</v>
      </c>
      <c r="C644" s="63">
        <f>10.3065 * CHOOSE(CONTROL!$C$22, $C$13, 100%, $E$13)</f>
        <v>10.3065</v>
      </c>
      <c r="D644" s="63">
        <f>10.3065 * CHOOSE(CONTROL!$C$22, $C$13, 100%, $E$13)</f>
        <v>10.3065</v>
      </c>
      <c r="E644" s="64">
        <f>12.0594 * CHOOSE(CONTROL!$C$22, $C$13, 100%, $E$13)</f>
        <v>12.0594</v>
      </c>
      <c r="F644" s="64">
        <f>12.0594 * CHOOSE(CONTROL!$C$22, $C$13, 100%, $E$13)</f>
        <v>12.0594</v>
      </c>
      <c r="G644" s="64">
        <f>12.0595 * CHOOSE(CONTROL!$C$22, $C$13, 100%, $E$13)</f>
        <v>12.0595</v>
      </c>
      <c r="H644" s="64">
        <f>20.4347* CHOOSE(CONTROL!$C$22, $C$13, 100%, $E$13)</f>
        <v>20.434699999999999</v>
      </c>
      <c r="I644" s="64">
        <f>20.4348 * CHOOSE(CONTROL!$C$22, $C$13, 100%, $E$13)</f>
        <v>20.434799999999999</v>
      </c>
      <c r="J644" s="64">
        <f>12.0594 * CHOOSE(CONTROL!$C$22, $C$13, 100%, $E$13)</f>
        <v>12.0594</v>
      </c>
      <c r="K644" s="64">
        <f>12.0595 * CHOOSE(CONTROL!$C$22, $C$13, 100%, $E$13)</f>
        <v>12.0595</v>
      </c>
    </row>
    <row r="645" spans="1:11" ht="15">
      <c r="A645" s="13">
        <v>61118</v>
      </c>
      <c r="B645" s="63">
        <f>10.3065 * CHOOSE(CONTROL!$C$22, $C$13, 100%, $E$13)</f>
        <v>10.3065</v>
      </c>
      <c r="C645" s="63">
        <f>10.3065 * CHOOSE(CONTROL!$C$22, $C$13, 100%, $E$13)</f>
        <v>10.3065</v>
      </c>
      <c r="D645" s="63">
        <f>10.3146 * CHOOSE(CONTROL!$C$22, $C$13, 100%, $E$13)</f>
        <v>10.3146</v>
      </c>
      <c r="E645" s="64">
        <f>12.1247 * CHOOSE(CONTROL!$C$22, $C$13, 100%, $E$13)</f>
        <v>12.124700000000001</v>
      </c>
      <c r="F645" s="64">
        <f>12.1247 * CHOOSE(CONTROL!$C$22, $C$13, 100%, $E$13)</f>
        <v>12.124700000000001</v>
      </c>
      <c r="G645" s="64">
        <f>12.1345 * CHOOSE(CONTROL!$C$22, $C$13, 100%, $E$13)</f>
        <v>12.134499999999999</v>
      </c>
      <c r="H645" s="64">
        <f>20.4773* CHOOSE(CONTROL!$C$22, $C$13, 100%, $E$13)</f>
        <v>20.4773</v>
      </c>
      <c r="I645" s="64">
        <f>20.4871 * CHOOSE(CONTROL!$C$22, $C$13, 100%, $E$13)</f>
        <v>20.487100000000002</v>
      </c>
      <c r="J645" s="64">
        <f>12.1247 * CHOOSE(CONTROL!$C$22, $C$13, 100%, $E$13)</f>
        <v>12.124700000000001</v>
      </c>
      <c r="K645" s="64">
        <f>12.1345 * CHOOSE(CONTROL!$C$22, $C$13, 100%, $E$13)</f>
        <v>12.134499999999999</v>
      </c>
    </row>
    <row r="646" spans="1:11" ht="15">
      <c r="A646" s="13">
        <v>61149</v>
      </c>
      <c r="B646" s="63">
        <f>10.3126 * CHOOSE(CONTROL!$C$22, $C$13, 100%, $E$13)</f>
        <v>10.3126</v>
      </c>
      <c r="C646" s="63">
        <f>10.3126 * CHOOSE(CONTROL!$C$22, $C$13, 100%, $E$13)</f>
        <v>10.3126</v>
      </c>
      <c r="D646" s="63">
        <f>10.3207 * CHOOSE(CONTROL!$C$22, $C$13, 100%, $E$13)</f>
        <v>10.3207</v>
      </c>
      <c r="E646" s="64">
        <f>12.0637 * CHOOSE(CONTROL!$C$22, $C$13, 100%, $E$13)</f>
        <v>12.063700000000001</v>
      </c>
      <c r="F646" s="64">
        <f>12.0637 * CHOOSE(CONTROL!$C$22, $C$13, 100%, $E$13)</f>
        <v>12.063700000000001</v>
      </c>
      <c r="G646" s="64">
        <f>12.0735 * CHOOSE(CONTROL!$C$22, $C$13, 100%, $E$13)</f>
        <v>12.073499999999999</v>
      </c>
      <c r="H646" s="64">
        <f>20.52* CHOOSE(CONTROL!$C$22, $C$13, 100%, $E$13)</f>
        <v>20.52</v>
      </c>
      <c r="I646" s="64">
        <f>20.5298 * CHOOSE(CONTROL!$C$22, $C$13, 100%, $E$13)</f>
        <v>20.529800000000002</v>
      </c>
      <c r="J646" s="64">
        <f>12.0637 * CHOOSE(CONTROL!$C$22, $C$13, 100%, $E$13)</f>
        <v>12.063700000000001</v>
      </c>
      <c r="K646" s="64">
        <f>12.0735 * CHOOSE(CONTROL!$C$22, $C$13, 100%, $E$13)</f>
        <v>12.073499999999999</v>
      </c>
    </row>
    <row r="647" spans="1:11" ht="15">
      <c r="A647" s="13">
        <v>61179</v>
      </c>
      <c r="B647" s="63">
        <f>10.4716 * CHOOSE(CONTROL!$C$22, $C$13, 100%, $E$13)</f>
        <v>10.4716</v>
      </c>
      <c r="C647" s="63">
        <f>10.4716 * CHOOSE(CONTROL!$C$22, $C$13, 100%, $E$13)</f>
        <v>10.4716</v>
      </c>
      <c r="D647" s="63">
        <f>10.4797 * CHOOSE(CONTROL!$C$22, $C$13, 100%, $E$13)</f>
        <v>10.479699999999999</v>
      </c>
      <c r="E647" s="64">
        <f>12.2585 * CHOOSE(CONTROL!$C$22, $C$13, 100%, $E$13)</f>
        <v>12.2585</v>
      </c>
      <c r="F647" s="64">
        <f>12.2585 * CHOOSE(CONTROL!$C$22, $C$13, 100%, $E$13)</f>
        <v>12.2585</v>
      </c>
      <c r="G647" s="64">
        <f>12.2683 * CHOOSE(CONTROL!$C$22, $C$13, 100%, $E$13)</f>
        <v>12.2683</v>
      </c>
      <c r="H647" s="64">
        <f>20.5627* CHOOSE(CONTROL!$C$22, $C$13, 100%, $E$13)</f>
        <v>20.5627</v>
      </c>
      <c r="I647" s="64">
        <f>20.5725 * CHOOSE(CONTROL!$C$22, $C$13, 100%, $E$13)</f>
        <v>20.572500000000002</v>
      </c>
      <c r="J647" s="64">
        <f>12.2585 * CHOOSE(CONTROL!$C$22, $C$13, 100%, $E$13)</f>
        <v>12.2585</v>
      </c>
      <c r="K647" s="64">
        <f>12.2683 * CHOOSE(CONTROL!$C$22, $C$13, 100%, $E$13)</f>
        <v>12.2683</v>
      </c>
    </row>
    <row r="648" spans="1:11" ht="15">
      <c r="A648" s="13">
        <v>61210</v>
      </c>
      <c r="B648" s="63">
        <f>10.4782 * CHOOSE(CONTROL!$C$22, $C$13, 100%, $E$13)</f>
        <v>10.478199999999999</v>
      </c>
      <c r="C648" s="63">
        <f>10.4782 * CHOOSE(CONTROL!$C$22, $C$13, 100%, $E$13)</f>
        <v>10.478199999999999</v>
      </c>
      <c r="D648" s="63">
        <f>10.4864 * CHOOSE(CONTROL!$C$22, $C$13, 100%, $E$13)</f>
        <v>10.4864</v>
      </c>
      <c r="E648" s="64">
        <f>12.0674 * CHOOSE(CONTROL!$C$22, $C$13, 100%, $E$13)</f>
        <v>12.067399999999999</v>
      </c>
      <c r="F648" s="64">
        <f>12.0674 * CHOOSE(CONTROL!$C$22, $C$13, 100%, $E$13)</f>
        <v>12.067399999999999</v>
      </c>
      <c r="G648" s="64">
        <f>12.0772 * CHOOSE(CONTROL!$C$22, $C$13, 100%, $E$13)</f>
        <v>12.077199999999999</v>
      </c>
      <c r="H648" s="64">
        <f>20.6056* CHOOSE(CONTROL!$C$22, $C$13, 100%, $E$13)</f>
        <v>20.605599999999999</v>
      </c>
      <c r="I648" s="64">
        <f>20.6154 * CHOOSE(CONTROL!$C$22, $C$13, 100%, $E$13)</f>
        <v>20.615400000000001</v>
      </c>
      <c r="J648" s="64">
        <f>12.0674 * CHOOSE(CONTROL!$C$22, $C$13, 100%, $E$13)</f>
        <v>12.067399999999999</v>
      </c>
      <c r="K648" s="64">
        <f>12.0772 * CHOOSE(CONTROL!$C$22, $C$13, 100%, $E$13)</f>
        <v>12.077199999999999</v>
      </c>
    </row>
    <row r="649" spans="1:11" ht="15">
      <c r="A649" s="13">
        <v>61241</v>
      </c>
      <c r="B649" s="63">
        <f>10.4752 * CHOOSE(CONTROL!$C$22, $C$13, 100%, $E$13)</f>
        <v>10.475199999999999</v>
      </c>
      <c r="C649" s="63">
        <f>10.4752 * CHOOSE(CONTROL!$C$22, $C$13, 100%, $E$13)</f>
        <v>10.475199999999999</v>
      </c>
      <c r="D649" s="63">
        <f>10.4833 * CHOOSE(CONTROL!$C$22, $C$13, 100%, $E$13)</f>
        <v>10.4833</v>
      </c>
      <c r="E649" s="64">
        <f>12.0435 * CHOOSE(CONTROL!$C$22, $C$13, 100%, $E$13)</f>
        <v>12.0435</v>
      </c>
      <c r="F649" s="64">
        <f>12.0435 * CHOOSE(CONTROL!$C$22, $C$13, 100%, $E$13)</f>
        <v>12.0435</v>
      </c>
      <c r="G649" s="64">
        <f>12.0533 * CHOOSE(CONTROL!$C$22, $C$13, 100%, $E$13)</f>
        <v>12.0533</v>
      </c>
      <c r="H649" s="64">
        <f>20.6485* CHOOSE(CONTROL!$C$22, $C$13, 100%, $E$13)</f>
        <v>20.648499999999999</v>
      </c>
      <c r="I649" s="64">
        <f>20.6583 * CHOOSE(CONTROL!$C$22, $C$13, 100%, $E$13)</f>
        <v>20.658300000000001</v>
      </c>
      <c r="J649" s="64">
        <f>12.0435 * CHOOSE(CONTROL!$C$22, $C$13, 100%, $E$13)</f>
        <v>12.0435</v>
      </c>
      <c r="K649" s="64">
        <f>12.0533 * CHOOSE(CONTROL!$C$22, $C$13, 100%, $E$13)</f>
        <v>12.0533</v>
      </c>
    </row>
    <row r="650" spans="1:11" ht="15">
      <c r="A650" s="13">
        <v>61271</v>
      </c>
      <c r="B650" s="63">
        <f>10.4913 * CHOOSE(CONTROL!$C$22, $C$13, 100%, $E$13)</f>
        <v>10.491300000000001</v>
      </c>
      <c r="C650" s="63">
        <f>10.4913 * CHOOSE(CONTROL!$C$22, $C$13, 100%, $E$13)</f>
        <v>10.491300000000001</v>
      </c>
      <c r="D650" s="63">
        <f>10.4913 * CHOOSE(CONTROL!$C$22, $C$13, 100%, $E$13)</f>
        <v>10.491300000000001</v>
      </c>
      <c r="E650" s="64">
        <f>12.1171 * CHOOSE(CONTROL!$C$22, $C$13, 100%, $E$13)</f>
        <v>12.117100000000001</v>
      </c>
      <c r="F650" s="64">
        <f>12.1171 * CHOOSE(CONTROL!$C$22, $C$13, 100%, $E$13)</f>
        <v>12.117100000000001</v>
      </c>
      <c r="G650" s="64">
        <f>12.1172 * CHOOSE(CONTROL!$C$22, $C$13, 100%, $E$13)</f>
        <v>12.1172</v>
      </c>
      <c r="H650" s="64">
        <f>20.6915* CHOOSE(CONTROL!$C$22, $C$13, 100%, $E$13)</f>
        <v>20.691500000000001</v>
      </c>
      <c r="I650" s="64">
        <f>20.6916 * CHOOSE(CONTROL!$C$22, $C$13, 100%, $E$13)</f>
        <v>20.691600000000001</v>
      </c>
      <c r="J650" s="64">
        <f>12.1171 * CHOOSE(CONTROL!$C$22, $C$13, 100%, $E$13)</f>
        <v>12.117100000000001</v>
      </c>
      <c r="K650" s="64">
        <f>12.1172 * CHOOSE(CONTROL!$C$22, $C$13, 100%, $E$13)</f>
        <v>12.1172</v>
      </c>
    </row>
    <row r="651" spans="1:11" ht="15">
      <c r="A651" s="13">
        <v>61302</v>
      </c>
      <c r="B651" s="63">
        <f>10.4943 * CHOOSE(CONTROL!$C$22, $C$13, 100%, $E$13)</f>
        <v>10.494300000000001</v>
      </c>
      <c r="C651" s="63">
        <f>10.4943 * CHOOSE(CONTROL!$C$22, $C$13, 100%, $E$13)</f>
        <v>10.494300000000001</v>
      </c>
      <c r="D651" s="63">
        <f>10.4943 * CHOOSE(CONTROL!$C$22, $C$13, 100%, $E$13)</f>
        <v>10.494300000000001</v>
      </c>
      <c r="E651" s="64">
        <f>12.1627 * CHOOSE(CONTROL!$C$22, $C$13, 100%, $E$13)</f>
        <v>12.162699999999999</v>
      </c>
      <c r="F651" s="64">
        <f>12.1627 * CHOOSE(CONTROL!$C$22, $C$13, 100%, $E$13)</f>
        <v>12.162699999999999</v>
      </c>
      <c r="G651" s="64">
        <f>12.1628 * CHOOSE(CONTROL!$C$22, $C$13, 100%, $E$13)</f>
        <v>12.162800000000001</v>
      </c>
      <c r="H651" s="64">
        <f>20.7346* CHOOSE(CONTROL!$C$22, $C$13, 100%, $E$13)</f>
        <v>20.7346</v>
      </c>
      <c r="I651" s="64">
        <f>20.7347 * CHOOSE(CONTROL!$C$22, $C$13, 100%, $E$13)</f>
        <v>20.7347</v>
      </c>
      <c r="J651" s="64">
        <f>12.1627 * CHOOSE(CONTROL!$C$22, $C$13, 100%, $E$13)</f>
        <v>12.162699999999999</v>
      </c>
      <c r="K651" s="64">
        <f>12.1628 * CHOOSE(CONTROL!$C$22, $C$13, 100%, $E$13)</f>
        <v>12.162800000000001</v>
      </c>
    </row>
    <row r="652" spans="1:11" ht="15">
      <c r="A652" s="13">
        <v>61332</v>
      </c>
      <c r="B652" s="63">
        <f>10.4943 * CHOOSE(CONTROL!$C$22, $C$13, 100%, $E$13)</f>
        <v>10.494300000000001</v>
      </c>
      <c r="C652" s="63">
        <f>10.4943 * CHOOSE(CONTROL!$C$22, $C$13, 100%, $E$13)</f>
        <v>10.494300000000001</v>
      </c>
      <c r="D652" s="63">
        <f>10.4943 * CHOOSE(CONTROL!$C$22, $C$13, 100%, $E$13)</f>
        <v>10.494300000000001</v>
      </c>
      <c r="E652" s="64">
        <f>12.0539 * CHOOSE(CONTROL!$C$22, $C$13, 100%, $E$13)</f>
        <v>12.053900000000001</v>
      </c>
      <c r="F652" s="64">
        <f>12.0539 * CHOOSE(CONTROL!$C$22, $C$13, 100%, $E$13)</f>
        <v>12.053900000000001</v>
      </c>
      <c r="G652" s="64">
        <f>12.054 * CHOOSE(CONTROL!$C$22, $C$13, 100%, $E$13)</f>
        <v>12.054</v>
      </c>
      <c r="H652" s="64">
        <f>20.7778* CHOOSE(CONTROL!$C$22, $C$13, 100%, $E$13)</f>
        <v>20.777799999999999</v>
      </c>
      <c r="I652" s="64">
        <f>20.7779 * CHOOSE(CONTROL!$C$22, $C$13, 100%, $E$13)</f>
        <v>20.777899999999999</v>
      </c>
      <c r="J652" s="64">
        <f>12.0539 * CHOOSE(CONTROL!$C$22, $C$13, 100%, $E$13)</f>
        <v>12.053900000000001</v>
      </c>
      <c r="K652" s="64">
        <f>12.054 * CHOOSE(CONTROL!$C$22, $C$13, 100%, $E$13)</f>
        <v>12.054</v>
      </c>
    </row>
    <row r="653" spans="1:11" ht="15">
      <c r="A653" s="13">
        <v>61363</v>
      </c>
      <c r="B653" s="63">
        <f>10.5452 * CHOOSE(CONTROL!$C$22, $C$13, 100%, $E$13)</f>
        <v>10.545199999999999</v>
      </c>
      <c r="C653" s="63">
        <f>10.5452 * CHOOSE(CONTROL!$C$22, $C$13, 100%, $E$13)</f>
        <v>10.545199999999999</v>
      </c>
      <c r="D653" s="63">
        <f>10.5452 * CHOOSE(CONTROL!$C$22, $C$13, 100%, $E$13)</f>
        <v>10.545199999999999</v>
      </c>
      <c r="E653" s="64">
        <f>12.1921 * CHOOSE(CONTROL!$C$22, $C$13, 100%, $E$13)</f>
        <v>12.1921</v>
      </c>
      <c r="F653" s="64">
        <f>12.1921 * CHOOSE(CONTROL!$C$22, $C$13, 100%, $E$13)</f>
        <v>12.1921</v>
      </c>
      <c r="G653" s="64">
        <f>12.1922 * CHOOSE(CONTROL!$C$22, $C$13, 100%, $E$13)</f>
        <v>12.1922</v>
      </c>
      <c r="H653" s="64">
        <f>20.7534* CHOOSE(CONTROL!$C$22, $C$13, 100%, $E$13)</f>
        <v>20.753399999999999</v>
      </c>
      <c r="I653" s="64">
        <f>20.7535 * CHOOSE(CONTROL!$C$22, $C$13, 100%, $E$13)</f>
        <v>20.753499999999999</v>
      </c>
      <c r="J653" s="64">
        <f>12.1921 * CHOOSE(CONTROL!$C$22, $C$13, 100%, $E$13)</f>
        <v>12.1921</v>
      </c>
      <c r="K653" s="64">
        <f>12.1922 * CHOOSE(CONTROL!$C$22, $C$13, 100%, $E$13)</f>
        <v>12.1922</v>
      </c>
    </row>
    <row r="654" spans="1:11" ht="15">
      <c r="A654" s="13">
        <v>61394</v>
      </c>
      <c r="B654" s="63">
        <f>10.5421 * CHOOSE(CONTROL!$C$22, $C$13, 100%, $E$13)</f>
        <v>10.5421</v>
      </c>
      <c r="C654" s="63">
        <f>10.5421 * CHOOSE(CONTROL!$C$22, $C$13, 100%, $E$13)</f>
        <v>10.5421</v>
      </c>
      <c r="D654" s="63">
        <f>10.5421 * CHOOSE(CONTROL!$C$22, $C$13, 100%, $E$13)</f>
        <v>10.5421</v>
      </c>
      <c r="E654" s="64">
        <f>11.9794 * CHOOSE(CONTROL!$C$22, $C$13, 100%, $E$13)</f>
        <v>11.9794</v>
      </c>
      <c r="F654" s="64">
        <f>11.9794 * CHOOSE(CONTROL!$C$22, $C$13, 100%, $E$13)</f>
        <v>11.9794</v>
      </c>
      <c r="G654" s="64">
        <f>11.9795 * CHOOSE(CONTROL!$C$22, $C$13, 100%, $E$13)</f>
        <v>11.9795</v>
      </c>
      <c r="H654" s="64">
        <f>20.7967* CHOOSE(CONTROL!$C$22, $C$13, 100%, $E$13)</f>
        <v>20.796700000000001</v>
      </c>
      <c r="I654" s="64">
        <f>20.7968 * CHOOSE(CONTROL!$C$22, $C$13, 100%, $E$13)</f>
        <v>20.796800000000001</v>
      </c>
      <c r="J654" s="64">
        <f>11.9794 * CHOOSE(CONTROL!$C$22, $C$13, 100%, $E$13)</f>
        <v>11.9794</v>
      </c>
      <c r="K654" s="64">
        <f>11.9795 * CHOOSE(CONTROL!$C$22, $C$13, 100%, $E$13)</f>
        <v>11.9795</v>
      </c>
    </row>
    <row r="655" spans="1:11" ht="15">
      <c r="A655" s="13">
        <v>61423</v>
      </c>
      <c r="B655" s="63">
        <f>10.5391 * CHOOSE(CONTROL!$C$22, $C$13, 100%, $E$13)</f>
        <v>10.539099999999999</v>
      </c>
      <c r="C655" s="63">
        <f>10.5391 * CHOOSE(CONTROL!$C$22, $C$13, 100%, $E$13)</f>
        <v>10.539099999999999</v>
      </c>
      <c r="D655" s="63">
        <f>10.5391 * CHOOSE(CONTROL!$C$22, $C$13, 100%, $E$13)</f>
        <v>10.539099999999999</v>
      </c>
      <c r="E655" s="64">
        <f>12.1433 * CHOOSE(CONTROL!$C$22, $C$13, 100%, $E$13)</f>
        <v>12.1433</v>
      </c>
      <c r="F655" s="64">
        <f>12.1433 * CHOOSE(CONTROL!$C$22, $C$13, 100%, $E$13)</f>
        <v>12.1433</v>
      </c>
      <c r="G655" s="64">
        <f>12.1434 * CHOOSE(CONTROL!$C$22, $C$13, 100%, $E$13)</f>
        <v>12.1434</v>
      </c>
      <c r="H655" s="64">
        <f>20.84* CHOOSE(CONTROL!$C$22, $C$13, 100%, $E$13)</f>
        <v>20.84</v>
      </c>
      <c r="I655" s="64">
        <f>20.8401 * CHOOSE(CONTROL!$C$22, $C$13, 100%, $E$13)</f>
        <v>20.8401</v>
      </c>
      <c r="J655" s="64">
        <f>12.1433 * CHOOSE(CONTROL!$C$22, $C$13, 100%, $E$13)</f>
        <v>12.1433</v>
      </c>
      <c r="K655" s="64">
        <f>12.1434 * CHOOSE(CONTROL!$C$22, $C$13, 100%, $E$13)</f>
        <v>12.1434</v>
      </c>
    </row>
    <row r="656" spans="1:11" ht="15">
      <c r="A656" s="13">
        <v>61454</v>
      </c>
      <c r="B656" s="63">
        <f>10.5423 * CHOOSE(CONTROL!$C$22, $C$13, 100%, $E$13)</f>
        <v>10.542299999999999</v>
      </c>
      <c r="C656" s="63">
        <f>10.5423 * CHOOSE(CONTROL!$C$22, $C$13, 100%, $E$13)</f>
        <v>10.542299999999999</v>
      </c>
      <c r="D656" s="63">
        <f>10.5423 * CHOOSE(CONTROL!$C$22, $C$13, 100%, $E$13)</f>
        <v>10.542299999999999</v>
      </c>
      <c r="E656" s="64">
        <f>12.3173 * CHOOSE(CONTROL!$C$22, $C$13, 100%, $E$13)</f>
        <v>12.317299999999999</v>
      </c>
      <c r="F656" s="64">
        <f>12.3173 * CHOOSE(CONTROL!$C$22, $C$13, 100%, $E$13)</f>
        <v>12.317299999999999</v>
      </c>
      <c r="G656" s="64">
        <f>12.3174 * CHOOSE(CONTROL!$C$22, $C$13, 100%, $E$13)</f>
        <v>12.317399999999999</v>
      </c>
      <c r="H656" s="64">
        <f>20.8834* CHOOSE(CONTROL!$C$22, $C$13, 100%, $E$13)</f>
        <v>20.883400000000002</v>
      </c>
      <c r="I656" s="64">
        <f>20.8835 * CHOOSE(CONTROL!$C$22, $C$13, 100%, $E$13)</f>
        <v>20.883500000000002</v>
      </c>
      <c r="J656" s="64">
        <f>12.3173 * CHOOSE(CONTROL!$C$22, $C$13, 100%, $E$13)</f>
        <v>12.317299999999999</v>
      </c>
      <c r="K656" s="64">
        <f>12.3174 * CHOOSE(CONTROL!$C$22, $C$13, 100%, $E$13)</f>
        <v>12.317399999999999</v>
      </c>
    </row>
    <row r="657" spans="1:11" ht="15">
      <c r="A657" s="13">
        <v>61484</v>
      </c>
      <c r="B657" s="63">
        <f>10.5423 * CHOOSE(CONTROL!$C$22, $C$13, 100%, $E$13)</f>
        <v>10.542299999999999</v>
      </c>
      <c r="C657" s="63">
        <f>10.5423 * CHOOSE(CONTROL!$C$22, $C$13, 100%, $E$13)</f>
        <v>10.542299999999999</v>
      </c>
      <c r="D657" s="63">
        <f>10.5504 * CHOOSE(CONTROL!$C$22, $C$13, 100%, $E$13)</f>
        <v>10.5504</v>
      </c>
      <c r="E657" s="64">
        <f>12.3841 * CHOOSE(CONTROL!$C$22, $C$13, 100%, $E$13)</f>
        <v>12.3841</v>
      </c>
      <c r="F657" s="64">
        <f>12.3841 * CHOOSE(CONTROL!$C$22, $C$13, 100%, $E$13)</f>
        <v>12.3841</v>
      </c>
      <c r="G657" s="64">
        <f>12.394 * CHOOSE(CONTROL!$C$22, $C$13, 100%, $E$13)</f>
        <v>12.394</v>
      </c>
      <c r="H657" s="64">
        <f>20.9269* CHOOSE(CONTROL!$C$22, $C$13, 100%, $E$13)</f>
        <v>20.9269</v>
      </c>
      <c r="I657" s="64">
        <f>20.9368 * CHOOSE(CONTROL!$C$22, $C$13, 100%, $E$13)</f>
        <v>20.936800000000002</v>
      </c>
      <c r="J657" s="64">
        <f>12.3841 * CHOOSE(CONTROL!$C$22, $C$13, 100%, $E$13)</f>
        <v>12.3841</v>
      </c>
      <c r="K657" s="64">
        <f>12.394 * CHOOSE(CONTROL!$C$22, $C$13, 100%, $E$13)</f>
        <v>12.394</v>
      </c>
    </row>
    <row r="658" spans="1:11" ht="15">
      <c r="A658" s="13">
        <v>61515</v>
      </c>
      <c r="B658" s="63">
        <f>10.5483 * CHOOSE(CONTROL!$C$22, $C$13, 100%, $E$13)</f>
        <v>10.548299999999999</v>
      </c>
      <c r="C658" s="63">
        <f>10.5483 * CHOOSE(CONTROL!$C$22, $C$13, 100%, $E$13)</f>
        <v>10.548299999999999</v>
      </c>
      <c r="D658" s="63">
        <f>10.5565 * CHOOSE(CONTROL!$C$22, $C$13, 100%, $E$13)</f>
        <v>10.5565</v>
      </c>
      <c r="E658" s="64">
        <f>12.3215 * CHOOSE(CONTROL!$C$22, $C$13, 100%, $E$13)</f>
        <v>12.3215</v>
      </c>
      <c r="F658" s="64">
        <f>12.3215 * CHOOSE(CONTROL!$C$22, $C$13, 100%, $E$13)</f>
        <v>12.3215</v>
      </c>
      <c r="G658" s="64">
        <f>12.3314 * CHOOSE(CONTROL!$C$22, $C$13, 100%, $E$13)</f>
        <v>12.3314</v>
      </c>
      <c r="H658" s="64">
        <f>20.9705* CHOOSE(CONTROL!$C$22, $C$13, 100%, $E$13)</f>
        <v>20.970500000000001</v>
      </c>
      <c r="I658" s="64">
        <f>20.9804 * CHOOSE(CONTROL!$C$22, $C$13, 100%, $E$13)</f>
        <v>20.980399999999999</v>
      </c>
      <c r="J658" s="64">
        <f>12.3215 * CHOOSE(CONTROL!$C$22, $C$13, 100%, $E$13)</f>
        <v>12.3215</v>
      </c>
      <c r="K658" s="64">
        <f>12.3314 * CHOOSE(CONTROL!$C$22, $C$13, 100%, $E$13)</f>
        <v>12.3314</v>
      </c>
    </row>
    <row r="659" spans="1:11" ht="15">
      <c r="A659" s="13">
        <v>61545</v>
      </c>
      <c r="B659" s="63">
        <f>10.7107 * CHOOSE(CONTROL!$C$22, $C$13, 100%, $E$13)</f>
        <v>10.710699999999999</v>
      </c>
      <c r="C659" s="63">
        <f>10.7107 * CHOOSE(CONTROL!$C$22, $C$13, 100%, $E$13)</f>
        <v>10.710699999999999</v>
      </c>
      <c r="D659" s="63">
        <f>10.7188 * CHOOSE(CONTROL!$C$22, $C$13, 100%, $E$13)</f>
        <v>10.7188</v>
      </c>
      <c r="E659" s="64">
        <f>12.5203 * CHOOSE(CONTROL!$C$22, $C$13, 100%, $E$13)</f>
        <v>12.520300000000001</v>
      </c>
      <c r="F659" s="64">
        <f>12.5203 * CHOOSE(CONTROL!$C$22, $C$13, 100%, $E$13)</f>
        <v>12.520300000000001</v>
      </c>
      <c r="G659" s="64">
        <f>12.5301 * CHOOSE(CONTROL!$C$22, $C$13, 100%, $E$13)</f>
        <v>12.530099999999999</v>
      </c>
      <c r="H659" s="64">
        <f>21.0142* CHOOSE(CONTROL!$C$22, $C$13, 100%, $E$13)</f>
        <v>21.014199999999999</v>
      </c>
      <c r="I659" s="64">
        <f>21.024 * CHOOSE(CONTROL!$C$22, $C$13, 100%, $E$13)</f>
        <v>21.024000000000001</v>
      </c>
      <c r="J659" s="64">
        <f>12.5203 * CHOOSE(CONTROL!$C$22, $C$13, 100%, $E$13)</f>
        <v>12.520300000000001</v>
      </c>
      <c r="K659" s="64">
        <f>12.5301 * CHOOSE(CONTROL!$C$22, $C$13, 100%, $E$13)</f>
        <v>12.530099999999999</v>
      </c>
    </row>
    <row r="660" spans="1:11" ht="15">
      <c r="A660" s="13">
        <v>61576</v>
      </c>
      <c r="B660" s="63">
        <f>10.7174 * CHOOSE(CONTROL!$C$22, $C$13, 100%, $E$13)</f>
        <v>10.7174</v>
      </c>
      <c r="C660" s="63">
        <f>10.7174 * CHOOSE(CONTROL!$C$22, $C$13, 100%, $E$13)</f>
        <v>10.7174</v>
      </c>
      <c r="D660" s="63">
        <f>10.7255 * CHOOSE(CONTROL!$C$22, $C$13, 100%, $E$13)</f>
        <v>10.7255</v>
      </c>
      <c r="E660" s="64">
        <f>12.3244 * CHOOSE(CONTROL!$C$22, $C$13, 100%, $E$13)</f>
        <v>12.324400000000001</v>
      </c>
      <c r="F660" s="64">
        <f>12.3244 * CHOOSE(CONTROL!$C$22, $C$13, 100%, $E$13)</f>
        <v>12.324400000000001</v>
      </c>
      <c r="G660" s="64">
        <f>12.3343 * CHOOSE(CONTROL!$C$22, $C$13, 100%, $E$13)</f>
        <v>12.334300000000001</v>
      </c>
      <c r="H660" s="64">
        <f>21.058* CHOOSE(CONTROL!$C$22, $C$13, 100%, $E$13)</f>
        <v>21.058</v>
      </c>
      <c r="I660" s="64">
        <f>21.0678 * CHOOSE(CONTROL!$C$22, $C$13, 100%, $E$13)</f>
        <v>21.067799999999998</v>
      </c>
      <c r="J660" s="64">
        <f>12.3244 * CHOOSE(CONTROL!$C$22, $C$13, 100%, $E$13)</f>
        <v>12.324400000000001</v>
      </c>
      <c r="K660" s="64">
        <f>12.3343 * CHOOSE(CONTROL!$C$22, $C$13, 100%, $E$13)</f>
        <v>12.334300000000001</v>
      </c>
    </row>
    <row r="661" spans="1:11" ht="15">
      <c r="A661" s="13">
        <v>61607</v>
      </c>
      <c r="B661" s="63">
        <f>10.7144 * CHOOSE(CONTROL!$C$22, $C$13, 100%, $E$13)</f>
        <v>10.714399999999999</v>
      </c>
      <c r="C661" s="63">
        <f>10.7144 * CHOOSE(CONTROL!$C$22, $C$13, 100%, $E$13)</f>
        <v>10.714399999999999</v>
      </c>
      <c r="D661" s="63">
        <f>10.7225 * CHOOSE(CONTROL!$C$22, $C$13, 100%, $E$13)</f>
        <v>10.7225</v>
      </c>
      <c r="E661" s="64">
        <f>12.3 * CHOOSE(CONTROL!$C$22, $C$13, 100%, $E$13)</f>
        <v>12.3</v>
      </c>
      <c r="F661" s="64">
        <f>12.3 * CHOOSE(CONTROL!$C$22, $C$13, 100%, $E$13)</f>
        <v>12.3</v>
      </c>
      <c r="G661" s="64">
        <f>12.3099 * CHOOSE(CONTROL!$C$22, $C$13, 100%, $E$13)</f>
        <v>12.309900000000001</v>
      </c>
      <c r="H661" s="64">
        <f>21.1019* CHOOSE(CONTROL!$C$22, $C$13, 100%, $E$13)</f>
        <v>21.101900000000001</v>
      </c>
      <c r="I661" s="64">
        <f>21.1117 * CHOOSE(CONTROL!$C$22, $C$13, 100%, $E$13)</f>
        <v>21.111699999999999</v>
      </c>
      <c r="J661" s="64">
        <f>12.3 * CHOOSE(CONTROL!$C$22, $C$13, 100%, $E$13)</f>
        <v>12.3</v>
      </c>
      <c r="K661" s="64">
        <f>12.3099 * CHOOSE(CONTROL!$C$22, $C$13, 100%, $E$13)</f>
        <v>12.309900000000001</v>
      </c>
    </row>
    <row r="662" spans="1:11" ht="15">
      <c r="A662" s="13">
        <v>61637</v>
      </c>
      <c r="B662" s="63">
        <f>10.7312 * CHOOSE(CONTROL!$C$22, $C$13, 100%, $E$13)</f>
        <v>10.731199999999999</v>
      </c>
      <c r="C662" s="63">
        <f>10.7312 * CHOOSE(CONTROL!$C$22, $C$13, 100%, $E$13)</f>
        <v>10.731199999999999</v>
      </c>
      <c r="D662" s="63">
        <f>10.7312 * CHOOSE(CONTROL!$C$22, $C$13, 100%, $E$13)</f>
        <v>10.731199999999999</v>
      </c>
      <c r="E662" s="64">
        <f>12.3757 * CHOOSE(CONTROL!$C$22, $C$13, 100%, $E$13)</f>
        <v>12.3757</v>
      </c>
      <c r="F662" s="64">
        <f>12.3757 * CHOOSE(CONTROL!$C$22, $C$13, 100%, $E$13)</f>
        <v>12.3757</v>
      </c>
      <c r="G662" s="64">
        <f>12.3758 * CHOOSE(CONTROL!$C$22, $C$13, 100%, $E$13)</f>
        <v>12.3758</v>
      </c>
      <c r="H662" s="64">
        <f>21.1458* CHOOSE(CONTROL!$C$22, $C$13, 100%, $E$13)</f>
        <v>21.145800000000001</v>
      </c>
      <c r="I662" s="64">
        <f>21.1459 * CHOOSE(CONTROL!$C$22, $C$13, 100%, $E$13)</f>
        <v>21.145900000000001</v>
      </c>
      <c r="J662" s="64">
        <f>12.3757 * CHOOSE(CONTROL!$C$22, $C$13, 100%, $E$13)</f>
        <v>12.3757</v>
      </c>
      <c r="K662" s="64">
        <f>12.3758 * CHOOSE(CONTROL!$C$22, $C$13, 100%, $E$13)</f>
        <v>12.3758</v>
      </c>
    </row>
    <row r="663" spans="1:11" ht="15">
      <c r="A663" s="13">
        <v>61668</v>
      </c>
      <c r="B663" s="63">
        <f>10.7342 * CHOOSE(CONTROL!$C$22, $C$13, 100%, $E$13)</f>
        <v>10.7342</v>
      </c>
      <c r="C663" s="63">
        <f>10.7342 * CHOOSE(CONTROL!$C$22, $C$13, 100%, $E$13)</f>
        <v>10.7342</v>
      </c>
      <c r="D663" s="63">
        <f>10.7342 * CHOOSE(CONTROL!$C$22, $C$13, 100%, $E$13)</f>
        <v>10.7342</v>
      </c>
      <c r="E663" s="64">
        <f>12.4224 * CHOOSE(CONTROL!$C$22, $C$13, 100%, $E$13)</f>
        <v>12.4224</v>
      </c>
      <c r="F663" s="64">
        <f>12.4224 * CHOOSE(CONTROL!$C$22, $C$13, 100%, $E$13)</f>
        <v>12.4224</v>
      </c>
      <c r="G663" s="64">
        <f>12.4225 * CHOOSE(CONTROL!$C$22, $C$13, 100%, $E$13)</f>
        <v>12.422499999999999</v>
      </c>
      <c r="H663" s="64">
        <f>21.1899* CHOOSE(CONTROL!$C$22, $C$13, 100%, $E$13)</f>
        <v>21.189900000000002</v>
      </c>
      <c r="I663" s="64">
        <f>21.19 * CHOOSE(CONTROL!$C$22, $C$13, 100%, $E$13)</f>
        <v>21.19</v>
      </c>
      <c r="J663" s="64">
        <f>12.4224 * CHOOSE(CONTROL!$C$22, $C$13, 100%, $E$13)</f>
        <v>12.4224</v>
      </c>
      <c r="K663" s="64">
        <f>12.4225 * CHOOSE(CONTROL!$C$22, $C$13, 100%, $E$13)</f>
        <v>12.422499999999999</v>
      </c>
    </row>
    <row r="664" spans="1:11" ht="15">
      <c r="A664" s="13">
        <v>61698</v>
      </c>
      <c r="B664" s="63">
        <f>10.7342 * CHOOSE(CONTROL!$C$22, $C$13, 100%, $E$13)</f>
        <v>10.7342</v>
      </c>
      <c r="C664" s="63">
        <f>10.7342 * CHOOSE(CONTROL!$C$22, $C$13, 100%, $E$13)</f>
        <v>10.7342</v>
      </c>
      <c r="D664" s="63">
        <f>10.7342 * CHOOSE(CONTROL!$C$22, $C$13, 100%, $E$13)</f>
        <v>10.7342</v>
      </c>
      <c r="E664" s="64">
        <f>12.311 * CHOOSE(CONTROL!$C$22, $C$13, 100%, $E$13)</f>
        <v>12.311</v>
      </c>
      <c r="F664" s="64">
        <f>12.311 * CHOOSE(CONTROL!$C$22, $C$13, 100%, $E$13)</f>
        <v>12.311</v>
      </c>
      <c r="G664" s="64">
        <f>12.3111 * CHOOSE(CONTROL!$C$22, $C$13, 100%, $E$13)</f>
        <v>12.3111</v>
      </c>
      <c r="H664" s="64">
        <f>21.234* CHOOSE(CONTROL!$C$22, $C$13, 100%, $E$13)</f>
        <v>21.234000000000002</v>
      </c>
      <c r="I664" s="64">
        <f>21.2341 * CHOOSE(CONTROL!$C$22, $C$13, 100%, $E$13)</f>
        <v>21.234100000000002</v>
      </c>
      <c r="J664" s="64">
        <f>12.311 * CHOOSE(CONTROL!$C$22, $C$13, 100%, $E$13)</f>
        <v>12.311</v>
      </c>
      <c r="K664" s="64">
        <f>12.3111 * CHOOSE(CONTROL!$C$22, $C$13, 100%, $E$13)</f>
        <v>12.3111</v>
      </c>
    </row>
    <row r="665" spans="1:11" ht="15">
      <c r="A665" s="13">
        <v>61729</v>
      </c>
      <c r="B665" s="63">
        <f>10.7807 * CHOOSE(CONTROL!$C$22, $C$13, 100%, $E$13)</f>
        <v>10.7807</v>
      </c>
      <c r="C665" s="63">
        <f>10.7807 * CHOOSE(CONTROL!$C$22, $C$13, 100%, $E$13)</f>
        <v>10.7807</v>
      </c>
      <c r="D665" s="63">
        <f>10.7808 * CHOOSE(CONTROL!$C$22, $C$13, 100%, $E$13)</f>
        <v>10.780799999999999</v>
      </c>
      <c r="E665" s="64">
        <f>12.4468 * CHOOSE(CONTROL!$C$22, $C$13, 100%, $E$13)</f>
        <v>12.4468</v>
      </c>
      <c r="F665" s="64">
        <f>12.4468 * CHOOSE(CONTROL!$C$22, $C$13, 100%, $E$13)</f>
        <v>12.4468</v>
      </c>
      <c r="G665" s="64">
        <f>12.4469 * CHOOSE(CONTROL!$C$22, $C$13, 100%, $E$13)</f>
        <v>12.446899999999999</v>
      </c>
      <c r="H665" s="64">
        <f>21.1993* CHOOSE(CONTROL!$C$22, $C$13, 100%, $E$13)</f>
        <v>21.199300000000001</v>
      </c>
      <c r="I665" s="64">
        <f>21.1994 * CHOOSE(CONTROL!$C$22, $C$13, 100%, $E$13)</f>
        <v>21.199400000000001</v>
      </c>
      <c r="J665" s="64">
        <f>12.4468 * CHOOSE(CONTROL!$C$22, $C$13, 100%, $E$13)</f>
        <v>12.4468</v>
      </c>
      <c r="K665" s="64">
        <f>12.4469 * CHOOSE(CONTROL!$C$22, $C$13, 100%, $E$13)</f>
        <v>12.446899999999999</v>
      </c>
    </row>
    <row r="666" spans="1:11" ht="15">
      <c r="A666" s="13">
        <v>61760</v>
      </c>
      <c r="B666" s="63">
        <f>10.7777 * CHOOSE(CONTROL!$C$22, $C$13, 100%, $E$13)</f>
        <v>10.777699999999999</v>
      </c>
      <c r="C666" s="63">
        <f>10.7777 * CHOOSE(CONTROL!$C$22, $C$13, 100%, $E$13)</f>
        <v>10.777699999999999</v>
      </c>
      <c r="D666" s="63">
        <f>10.7777 * CHOOSE(CONTROL!$C$22, $C$13, 100%, $E$13)</f>
        <v>10.777699999999999</v>
      </c>
      <c r="E666" s="64">
        <f>12.2292 * CHOOSE(CONTROL!$C$22, $C$13, 100%, $E$13)</f>
        <v>12.229200000000001</v>
      </c>
      <c r="F666" s="64">
        <f>12.2292 * CHOOSE(CONTROL!$C$22, $C$13, 100%, $E$13)</f>
        <v>12.229200000000001</v>
      </c>
      <c r="G666" s="64">
        <f>12.2293 * CHOOSE(CONTROL!$C$22, $C$13, 100%, $E$13)</f>
        <v>12.2293</v>
      </c>
      <c r="H666" s="64">
        <f>21.2435* CHOOSE(CONTROL!$C$22, $C$13, 100%, $E$13)</f>
        <v>21.243500000000001</v>
      </c>
      <c r="I666" s="64">
        <f>21.2436 * CHOOSE(CONTROL!$C$22, $C$13, 100%, $E$13)</f>
        <v>21.243600000000001</v>
      </c>
      <c r="J666" s="64">
        <f>12.2292 * CHOOSE(CONTROL!$C$22, $C$13, 100%, $E$13)</f>
        <v>12.229200000000001</v>
      </c>
      <c r="K666" s="64">
        <f>12.2293 * CHOOSE(CONTROL!$C$22, $C$13, 100%, $E$13)</f>
        <v>12.2293</v>
      </c>
    </row>
    <row r="667" spans="1:11" ht="15">
      <c r="A667" s="13">
        <v>61788</v>
      </c>
      <c r="B667" s="63">
        <f>10.7747 * CHOOSE(CONTROL!$C$22, $C$13, 100%, $E$13)</f>
        <v>10.774699999999999</v>
      </c>
      <c r="C667" s="63">
        <f>10.7747 * CHOOSE(CONTROL!$C$22, $C$13, 100%, $E$13)</f>
        <v>10.774699999999999</v>
      </c>
      <c r="D667" s="63">
        <f>10.7747 * CHOOSE(CONTROL!$C$22, $C$13, 100%, $E$13)</f>
        <v>10.774699999999999</v>
      </c>
      <c r="E667" s="64">
        <f>12.397 * CHOOSE(CONTROL!$C$22, $C$13, 100%, $E$13)</f>
        <v>12.397</v>
      </c>
      <c r="F667" s="64">
        <f>12.397 * CHOOSE(CONTROL!$C$22, $C$13, 100%, $E$13)</f>
        <v>12.397</v>
      </c>
      <c r="G667" s="64">
        <f>12.3971 * CHOOSE(CONTROL!$C$22, $C$13, 100%, $E$13)</f>
        <v>12.3971</v>
      </c>
      <c r="H667" s="64">
        <f>21.2878* CHOOSE(CONTROL!$C$22, $C$13, 100%, $E$13)</f>
        <v>21.287800000000001</v>
      </c>
      <c r="I667" s="64">
        <f>21.2878 * CHOOSE(CONTROL!$C$22, $C$13, 100%, $E$13)</f>
        <v>21.287800000000001</v>
      </c>
      <c r="J667" s="64">
        <f>12.397 * CHOOSE(CONTROL!$C$22, $C$13, 100%, $E$13)</f>
        <v>12.397</v>
      </c>
      <c r="K667" s="64">
        <f>12.3971 * CHOOSE(CONTROL!$C$22, $C$13, 100%, $E$13)</f>
        <v>12.3971</v>
      </c>
    </row>
    <row r="668" spans="1:11" ht="15">
      <c r="A668" s="13">
        <v>61819</v>
      </c>
      <c r="B668" s="63">
        <f>10.778 * CHOOSE(CONTROL!$C$22, $C$13, 100%, $E$13)</f>
        <v>10.778</v>
      </c>
      <c r="C668" s="63">
        <f>10.778 * CHOOSE(CONTROL!$C$22, $C$13, 100%, $E$13)</f>
        <v>10.778</v>
      </c>
      <c r="D668" s="63">
        <f>10.778 * CHOOSE(CONTROL!$C$22, $C$13, 100%, $E$13)</f>
        <v>10.778</v>
      </c>
      <c r="E668" s="64">
        <f>12.5752 * CHOOSE(CONTROL!$C$22, $C$13, 100%, $E$13)</f>
        <v>12.575200000000001</v>
      </c>
      <c r="F668" s="64">
        <f>12.5752 * CHOOSE(CONTROL!$C$22, $C$13, 100%, $E$13)</f>
        <v>12.575200000000001</v>
      </c>
      <c r="G668" s="64">
        <f>12.5752 * CHOOSE(CONTROL!$C$22, $C$13, 100%, $E$13)</f>
        <v>12.575200000000001</v>
      </c>
      <c r="H668" s="64">
        <f>21.3321* CHOOSE(CONTROL!$C$22, $C$13, 100%, $E$13)</f>
        <v>21.332100000000001</v>
      </c>
      <c r="I668" s="64">
        <f>21.3322 * CHOOSE(CONTROL!$C$22, $C$13, 100%, $E$13)</f>
        <v>21.3322</v>
      </c>
      <c r="J668" s="64">
        <f>12.5752 * CHOOSE(CONTROL!$C$22, $C$13, 100%, $E$13)</f>
        <v>12.575200000000001</v>
      </c>
      <c r="K668" s="64">
        <f>12.5752 * CHOOSE(CONTROL!$C$22, $C$13, 100%, $E$13)</f>
        <v>12.575200000000001</v>
      </c>
    </row>
    <row r="669" spans="1:11" ht="15">
      <c r="A669" s="13">
        <v>61849</v>
      </c>
      <c r="B669" s="63">
        <f>10.778 * CHOOSE(CONTROL!$C$22, $C$13, 100%, $E$13)</f>
        <v>10.778</v>
      </c>
      <c r="C669" s="63">
        <f>10.778 * CHOOSE(CONTROL!$C$22, $C$13, 100%, $E$13)</f>
        <v>10.778</v>
      </c>
      <c r="D669" s="63">
        <f>10.7861 * CHOOSE(CONTROL!$C$22, $C$13, 100%, $E$13)</f>
        <v>10.786099999999999</v>
      </c>
      <c r="E669" s="64">
        <f>12.6436 * CHOOSE(CONTROL!$C$22, $C$13, 100%, $E$13)</f>
        <v>12.643599999999999</v>
      </c>
      <c r="F669" s="64">
        <f>12.6436 * CHOOSE(CONTROL!$C$22, $C$13, 100%, $E$13)</f>
        <v>12.643599999999999</v>
      </c>
      <c r="G669" s="64">
        <f>12.6534 * CHOOSE(CONTROL!$C$22, $C$13, 100%, $E$13)</f>
        <v>12.6534</v>
      </c>
      <c r="H669" s="64">
        <f>21.3765* CHOOSE(CONTROL!$C$22, $C$13, 100%, $E$13)</f>
        <v>21.3765</v>
      </c>
      <c r="I669" s="64">
        <f>21.3864 * CHOOSE(CONTROL!$C$22, $C$13, 100%, $E$13)</f>
        <v>21.386399999999998</v>
      </c>
      <c r="J669" s="64">
        <f>12.6436 * CHOOSE(CONTROL!$C$22, $C$13, 100%, $E$13)</f>
        <v>12.643599999999999</v>
      </c>
      <c r="K669" s="64">
        <f>12.6534 * CHOOSE(CONTROL!$C$22, $C$13, 100%, $E$13)</f>
        <v>12.6534</v>
      </c>
    </row>
    <row r="670" spans="1:11" ht="15">
      <c r="A670" s="13">
        <v>61880</v>
      </c>
      <c r="B670" s="63">
        <f>10.7841 * CHOOSE(CONTROL!$C$22, $C$13, 100%, $E$13)</f>
        <v>10.7841</v>
      </c>
      <c r="C670" s="63">
        <f>10.7841 * CHOOSE(CONTROL!$C$22, $C$13, 100%, $E$13)</f>
        <v>10.7841</v>
      </c>
      <c r="D670" s="63">
        <f>10.7922 * CHOOSE(CONTROL!$C$22, $C$13, 100%, $E$13)</f>
        <v>10.792199999999999</v>
      </c>
      <c r="E670" s="64">
        <f>12.5794 * CHOOSE(CONTROL!$C$22, $C$13, 100%, $E$13)</f>
        <v>12.5794</v>
      </c>
      <c r="F670" s="64">
        <f>12.5794 * CHOOSE(CONTROL!$C$22, $C$13, 100%, $E$13)</f>
        <v>12.5794</v>
      </c>
      <c r="G670" s="64">
        <f>12.5892 * CHOOSE(CONTROL!$C$22, $C$13, 100%, $E$13)</f>
        <v>12.5892</v>
      </c>
      <c r="H670" s="64">
        <f>21.4211* CHOOSE(CONTROL!$C$22, $C$13, 100%, $E$13)</f>
        <v>21.421099999999999</v>
      </c>
      <c r="I670" s="64">
        <f>21.4309 * CHOOSE(CONTROL!$C$22, $C$13, 100%, $E$13)</f>
        <v>21.430900000000001</v>
      </c>
      <c r="J670" s="64">
        <f>12.5794 * CHOOSE(CONTROL!$C$22, $C$13, 100%, $E$13)</f>
        <v>12.5794</v>
      </c>
      <c r="K670" s="64">
        <f>12.5892 * CHOOSE(CONTROL!$C$22, $C$13, 100%, $E$13)</f>
        <v>12.5892</v>
      </c>
    </row>
    <row r="671" spans="1:11" ht="15">
      <c r="A671" s="13">
        <v>61910</v>
      </c>
      <c r="B671" s="63">
        <f>10.9499 * CHOOSE(CONTROL!$C$22, $C$13, 100%, $E$13)</f>
        <v>10.9499</v>
      </c>
      <c r="C671" s="63">
        <f>10.9499 * CHOOSE(CONTROL!$C$22, $C$13, 100%, $E$13)</f>
        <v>10.9499</v>
      </c>
      <c r="D671" s="63">
        <f>10.958 * CHOOSE(CONTROL!$C$22, $C$13, 100%, $E$13)</f>
        <v>10.958</v>
      </c>
      <c r="E671" s="64">
        <f>12.7821 * CHOOSE(CONTROL!$C$22, $C$13, 100%, $E$13)</f>
        <v>12.7821</v>
      </c>
      <c r="F671" s="64">
        <f>12.7821 * CHOOSE(CONTROL!$C$22, $C$13, 100%, $E$13)</f>
        <v>12.7821</v>
      </c>
      <c r="G671" s="64">
        <f>12.7919 * CHOOSE(CONTROL!$C$22, $C$13, 100%, $E$13)</f>
        <v>12.7919</v>
      </c>
      <c r="H671" s="64">
        <f>21.4657* CHOOSE(CONTROL!$C$22, $C$13, 100%, $E$13)</f>
        <v>21.465699999999998</v>
      </c>
      <c r="I671" s="64">
        <f>21.4755 * CHOOSE(CONTROL!$C$22, $C$13, 100%, $E$13)</f>
        <v>21.4755</v>
      </c>
      <c r="J671" s="64">
        <f>12.7821 * CHOOSE(CONTROL!$C$22, $C$13, 100%, $E$13)</f>
        <v>12.7821</v>
      </c>
      <c r="K671" s="64">
        <f>12.7919 * CHOOSE(CONTROL!$C$22, $C$13, 100%, $E$13)</f>
        <v>12.7919</v>
      </c>
    </row>
    <row r="672" spans="1:11" ht="15">
      <c r="A672" s="13">
        <v>61941</v>
      </c>
      <c r="B672" s="63">
        <f>10.9566 * CHOOSE(CONTROL!$C$22, $C$13, 100%, $E$13)</f>
        <v>10.9566</v>
      </c>
      <c r="C672" s="63">
        <f>10.9566 * CHOOSE(CONTROL!$C$22, $C$13, 100%, $E$13)</f>
        <v>10.9566</v>
      </c>
      <c r="D672" s="63">
        <f>10.9647 * CHOOSE(CONTROL!$C$22, $C$13, 100%, $E$13)</f>
        <v>10.964700000000001</v>
      </c>
      <c r="E672" s="64">
        <f>12.5815 * CHOOSE(CONTROL!$C$22, $C$13, 100%, $E$13)</f>
        <v>12.5815</v>
      </c>
      <c r="F672" s="64">
        <f>12.5815 * CHOOSE(CONTROL!$C$22, $C$13, 100%, $E$13)</f>
        <v>12.5815</v>
      </c>
      <c r="G672" s="64">
        <f>12.5913 * CHOOSE(CONTROL!$C$22, $C$13, 100%, $E$13)</f>
        <v>12.5913</v>
      </c>
      <c r="H672" s="64">
        <f>21.5104* CHOOSE(CONTROL!$C$22, $C$13, 100%, $E$13)</f>
        <v>21.510400000000001</v>
      </c>
      <c r="I672" s="64">
        <f>21.5203 * CHOOSE(CONTROL!$C$22, $C$13, 100%, $E$13)</f>
        <v>21.520299999999999</v>
      </c>
      <c r="J672" s="64">
        <f>12.5815 * CHOOSE(CONTROL!$C$22, $C$13, 100%, $E$13)</f>
        <v>12.5815</v>
      </c>
      <c r="K672" s="64">
        <f>12.5913 * CHOOSE(CONTROL!$C$22, $C$13, 100%, $E$13)</f>
        <v>12.5913</v>
      </c>
    </row>
    <row r="673" spans="1:11" ht="15">
      <c r="A673" s="13">
        <v>61972</v>
      </c>
      <c r="B673" s="63">
        <f>10.9536 * CHOOSE(CONTROL!$C$22, $C$13, 100%, $E$13)</f>
        <v>10.9536</v>
      </c>
      <c r="C673" s="63">
        <f>10.9536 * CHOOSE(CONTROL!$C$22, $C$13, 100%, $E$13)</f>
        <v>10.9536</v>
      </c>
      <c r="D673" s="63">
        <f>10.9617 * CHOOSE(CONTROL!$C$22, $C$13, 100%, $E$13)</f>
        <v>10.9617</v>
      </c>
      <c r="E673" s="64">
        <f>12.5566 * CHOOSE(CONTROL!$C$22, $C$13, 100%, $E$13)</f>
        <v>12.5566</v>
      </c>
      <c r="F673" s="64">
        <f>12.5566 * CHOOSE(CONTROL!$C$22, $C$13, 100%, $E$13)</f>
        <v>12.5566</v>
      </c>
      <c r="G673" s="64">
        <f>12.5664 * CHOOSE(CONTROL!$C$22, $C$13, 100%, $E$13)</f>
        <v>12.5664</v>
      </c>
      <c r="H673" s="64">
        <f>21.5552* CHOOSE(CONTROL!$C$22, $C$13, 100%, $E$13)</f>
        <v>21.555199999999999</v>
      </c>
      <c r="I673" s="64">
        <f>21.5651 * CHOOSE(CONTROL!$C$22, $C$13, 100%, $E$13)</f>
        <v>21.565100000000001</v>
      </c>
      <c r="J673" s="64">
        <f>12.5566 * CHOOSE(CONTROL!$C$22, $C$13, 100%, $E$13)</f>
        <v>12.5566</v>
      </c>
      <c r="K673" s="64">
        <f>12.5664 * CHOOSE(CONTROL!$C$22, $C$13, 100%, $E$13)</f>
        <v>12.5664</v>
      </c>
    </row>
    <row r="674" spans="1:11" ht="15">
      <c r="A674" s="13">
        <v>62002</v>
      </c>
      <c r="B674" s="63">
        <f>10.9711 * CHOOSE(CONTROL!$C$22, $C$13, 100%, $E$13)</f>
        <v>10.9711</v>
      </c>
      <c r="C674" s="63">
        <f>10.9711 * CHOOSE(CONTROL!$C$22, $C$13, 100%, $E$13)</f>
        <v>10.9711</v>
      </c>
      <c r="D674" s="63">
        <f>10.9711 * CHOOSE(CONTROL!$C$22, $C$13, 100%, $E$13)</f>
        <v>10.9711</v>
      </c>
      <c r="E674" s="64">
        <f>12.6344 * CHOOSE(CONTROL!$C$22, $C$13, 100%, $E$13)</f>
        <v>12.634399999999999</v>
      </c>
      <c r="F674" s="64">
        <f>12.6344 * CHOOSE(CONTROL!$C$22, $C$13, 100%, $E$13)</f>
        <v>12.634399999999999</v>
      </c>
      <c r="G674" s="64">
        <f>12.6345 * CHOOSE(CONTROL!$C$22, $C$13, 100%, $E$13)</f>
        <v>12.634499999999999</v>
      </c>
      <c r="H674" s="64">
        <f>21.6001* CHOOSE(CONTROL!$C$22, $C$13, 100%, $E$13)</f>
        <v>21.600100000000001</v>
      </c>
      <c r="I674" s="64">
        <f>21.6002 * CHOOSE(CONTROL!$C$22, $C$13, 100%, $E$13)</f>
        <v>21.600200000000001</v>
      </c>
      <c r="J674" s="64">
        <f>12.6344 * CHOOSE(CONTROL!$C$22, $C$13, 100%, $E$13)</f>
        <v>12.634399999999999</v>
      </c>
      <c r="K674" s="64">
        <f>12.6345 * CHOOSE(CONTROL!$C$22, $C$13, 100%, $E$13)</f>
        <v>12.634499999999999</v>
      </c>
    </row>
    <row r="675" spans="1:11" ht="15">
      <c r="A675" s="13">
        <v>62033</v>
      </c>
      <c r="B675" s="63">
        <f>10.9742 * CHOOSE(CONTROL!$C$22, $C$13, 100%, $E$13)</f>
        <v>10.9742</v>
      </c>
      <c r="C675" s="63">
        <f>10.9742 * CHOOSE(CONTROL!$C$22, $C$13, 100%, $E$13)</f>
        <v>10.9742</v>
      </c>
      <c r="D675" s="63">
        <f>10.9742 * CHOOSE(CONTROL!$C$22, $C$13, 100%, $E$13)</f>
        <v>10.9742</v>
      </c>
      <c r="E675" s="64">
        <f>12.6821 * CHOOSE(CONTROL!$C$22, $C$13, 100%, $E$13)</f>
        <v>12.6821</v>
      </c>
      <c r="F675" s="64">
        <f>12.6821 * CHOOSE(CONTROL!$C$22, $C$13, 100%, $E$13)</f>
        <v>12.6821</v>
      </c>
      <c r="G675" s="64">
        <f>12.6822 * CHOOSE(CONTROL!$C$22, $C$13, 100%, $E$13)</f>
        <v>12.6822</v>
      </c>
      <c r="H675" s="64">
        <f>21.6451* CHOOSE(CONTROL!$C$22, $C$13, 100%, $E$13)</f>
        <v>21.645099999999999</v>
      </c>
      <c r="I675" s="64">
        <f>21.6452 * CHOOSE(CONTROL!$C$22, $C$13, 100%, $E$13)</f>
        <v>21.645199999999999</v>
      </c>
      <c r="J675" s="64">
        <f>12.6821 * CHOOSE(CONTROL!$C$22, $C$13, 100%, $E$13)</f>
        <v>12.6821</v>
      </c>
      <c r="K675" s="64">
        <f>12.6822 * CHOOSE(CONTROL!$C$22, $C$13, 100%, $E$13)</f>
        <v>12.6822</v>
      </c>
    </row>
    <row r="676" spans="1:11" ht="15">
      <c r="A676" s="13">
        <v>62063</v>
      </c>
      <c r="B676" s="63">
        <f>10.9742 * CHOOSE(CONTROL!$C$22, $C$13, 100%, $E$13)</f>
        <v>10.9742</v>
      </c>
      <c r="C676" s="63">
        <f>10.9742 * CHOOSE(CONTROL!$C$22, $C$13, 100%, $E$13)</f>
        <v>10.9742</v>
      </c>
      <c r="D676" s="63">
        <f>10.9742 * CHOOSE(CONTROL!$C$22, $C$13, 100%, $E$13)</f>
        <v>10.9742</v>
      </c>
      <c r="E676" s="64">
        <f>12.5681 * CHOOSE(CONTROL!$C$22, $C$13, 100%, $E$13)</f>
        <v>12.568099999999999</v>
      </c>
      <c r="F676" s="64">
        <f>12.5681 * CHOOSE(CONTROL!$C$22, $C$13, 100%, $E$13)</f>
        <v>12.568099999999999</v>
      </c>
      <c r="G676" s="64">
        <f>12.5682 * CHOOSE(CONTROL!$C$22, $C$13, 100%, $E$13)</f>
        <v>12.568199999999999</v>
      </c>
      <c r="H676" s="64">
        <f>21.6902* CHOOSE(CONTROL!$C$22, $C$13, 100%, $E$13)</f>
        <v>21.690200000000001</v>
      </c>
      <c r="I676" s="64">
        <f>21.6903 * CHOOSE(CONTROL!$C$22, $C$13, 100%, $E$13)</f>
        <v>21.690300000000001</v>
      </c>
      <c r="J676" s="64">
        <f>12.5681 * CHOOSE(CONTROL!$C$22, $C$13, 100%, $E$13)</f>
        <v>12.568099999999999</v>
      </c>
      <c r="K676" s="64">
        <f>12.5682 * CHOOSE(CONTROL!$C$22, $C$13, 100%, $E$13)</f>
        <v>12.568199999999999</v>
      </c>
    </row>
    <row r="677" spans="1:11" ht="15">
      <c r="A677" s="13">
        <v>62094</v>
      </c>
      <c r="B677" s="63">
        <f>11.0163 * CHOOSE(CONTROL!$C$22, $C$13, 100%, $E$13)</f>
        <v>11.016299999999999</v>
      </c>
      <c r="C677" s="63">
        <f>11.0163 * CHOOSE(CONTROL!$C$22, $C$13, 100%, $E$13)</f>
        <v>11.016299999999999</v>
      </c>
      <c r="D677" s="63">
        <f>11.0163 * CHOOSE(CONTROL!$C$22, $C$13, 100%, $E$13)</f>
        <v>11.016299999999999</v>
      </c>
      <c r="E677" s="64">
        <f>12.7015 * CHOOSE(CONTROL!$C$22, $C$13, 100%, $E$13)</f>
        <v>12.701499999999999</v>
      </c>
      <c r="F677" s="64">
        <f>12.7015 * CHOOSE(CONTROL!$C$22, $C$13, 100%, $E$13)</f>
        <v>12.701499999999999</v>
      </c>
      <c r="G677" s="64">
        <f>12.7016 * CHOOSE(CONTROL!$C$22, $C$13, 100%, $E$13)</f>
        <v>12.701599999999999</v>
      </c>
      <c r="H677" s="64">
        <f>21.6452* CHOOSE(CONTROL!$C$22, $C$13, 100%, $E$13)</f>
        <v>21.645199999999999</v>
      </c>
      <c r="I677" s="64">
        <f>21.6453 * CHOOSE(CONTROL!$C$22, $C$13, 100%, $E$13)</f>
        <v>21.645299999999999</v>
      </c>
      <c r="J677" s="64">
        <f>12.7015 * CHOOSE(CONTROL!$C$22, $C$13, 100%, $E$13)</f>
        <v>12.701499999999999</v>
      </c>
      <c r="K677" s="64">
        <f>12.7016 * CHOOSE(CONTROL!$C$22, $C$13, 100%, $E$13)</f>
        <v>12.701599999999999</v>
      </c>
    </row>
    <row r="678" spans="1:11" ht="15">
      <c r="A678" s="13">
        <v>62125</v>
      </c>
      <c r="B678" s="63">
        <f>11.0133 * CHOOSE(CONTROL!$C$22, $C$13, 100%, $E$13)</f>
        <v>11.013299999999999</v>
      </c>
      <c r="C678" s="63">
        <f>11.0133 * CHOOSE(CONTROL!$C$22, $C$13, 100%, $E$13)</f>
        <v>11.013299999999999</v>
      </c>
      <c r="D678" s="63">
        <f>11.0133 * CHOOSE(CONTROL!$C$22, $C$13, 100%, $E$13)</f>
        <v>11.013299999999999</v>
      </c>
      <c r="E678" s="64">
        <f>12.479 * CHOOSE(CONTROL!$C$22, $C$13, 100%, $E$13)</f>
        <v>12.478999999999999</v>
      </c>
      <c r="F678" s="64">
        <f>12.479 * CHOOSE(CONTROL!$C$22, $C$13, 100%, $E$13)</f>
        <v>12.478999999999999</v>
      </c>
      <c r="G678" s="64">
        <f>12.4791 * CHOOSE(CONTROL!$C$22, $C$13, 100%, $E$13)</f>
        <v>12.479100000000001</v>
      </c>
      <c r="H678" s="64">
        <f>21.6903* CHOOSE(CONTROL!$C$22, $C$13, 100%, $E$13)</f>
        <v>21.690300000000001</v>
      </c>
      <c r="I678" s="64">
        <f>21.6904 * CHOOSE(CONTROL!$C$22, $C$13, 100%, $E$13)</f>
        <v>21.6904</v>
      </c>
      <c r="J678" s="64">
        <f>12.479 * CHOOSE(CONTROL!$C$22, $C$13, 100%, $E$13)</f>
        <v>12.478999999999999</v>
      </c>
      <c r="K678" s="64">
        <f>12.4791 * CHOOSE(CONTROL!$C$22, $C$13, 100%, $E$13)</f>
        <v>12.479100000000001</v>
      </c>
    </row>
    <row r="679" spans="1:11" ht="15">
      <c r="A679" s="13">
        <v>62153</v>
      </c>
      <c r="B679" s="63">
        <f>11.0102 * CHOOSE(CONTROL!$C$22, $C$13, 100%, $E$13)</f>
        <v>11.010199999999999</v>
      </c>
      <c r="C679" s="63">
        <f>11.0102 * CHOOSE(CONTROL!$C$22, $C$13, 100%, $E$13)</f>
        <v>11.010199999999999</v>
      </c>
      <c r="D679" s="63">
        <f>11.0102 * CHOOSE(CONTROL!$C$22, $C$13, 100%, $E$13)</f>
        <v>11.010199999999999</v>
      </c>
      <c r="E679" s="64">
        <f>12.6507 * CHOOSE(CONTROL!$C$22, $C$13, 100%, $E$13)</f>
        <v>12.650700000000001</v>
      </c>
      <c r="F679" s="64">
        <f>12.6507 * CHOOSE(CONTROL!$C$22, $C$13, 100%, $E$13)</f>
        <v>12.650700000000001</v>
      </c>
      <c r="G679" s="64">
        <f>12.6507 * CHOOSE(CONTROL!$C$22, $C$13, 100%, $E$13)</f>
        <v>12.650700000000001</v>
      </c>
      <c r="H679" s="64">
        <f>21.7355* CHOOSE(CONTROL!$C$22, $C$13, 100%, $E$13)</f>
        <v>21.735499999999998</v>
      </c>
      <c r="I679" s="64">
        <f>21.7356 * CHOOSE(CONTROL!$C$22, $C$13, 100%, $E$13)</f>
        <v>21.735600000000002</v>
      </c>
      <c r="J679" s="64">
        <f>12.6507 * CHOOSE(CONTROL!$C$22, $C$13, 100%, $E$13)</f>
        <v>12.650700000000001</v>
      </c>
      <c r="K679" s="64">
        <f>12.6507 * CHOOSE(CONTROL!$C$22, $C$13, 100%, $E$13)</f>
        <v>12.650700000000001</v>
      </c>
    </row>
    <row r="680" spans="1:11" ht="15">
      <c r="A680" s="13">
        <v>62184</v>
      </c>
      <c r="B680" s="63">
        <f>11.0138 * CHOOSE(CONTROL!$C$22, $C$13, 100%, $E$13)</f>
        <v>11.0138</v>
      </c>
      <c r="C680" s="63">
        <f>11.0138 * CHOOSE(CONTROL!$C$22, $C$13, 100%, $E$13)</f>
        <v>11.0138</v>
      </c>
      <c r="D680" s="63">
        <f>11.0138 * CHOOSE(CONTROL!$C$22, $C$13, 100%, $E$13)</f>
        <v>11.0138</v>
      </c>
      <c r="E680" s="64">
        <f>12.833 * CHOOSE(CONTROL!$C$22, $C$13, 100%, $E$13)</f>
        <v>12.833</v>
      </c>
      <c r="F680" s="64">
        <f>12.833 * CHOOSE(CONTROL!$C$22, $C$13, 100%, $E$13)</f>
        <v>12.833</v>
      </c>
      <c r="G680" s="64">
        <f>12.8331 * CHOOSE(CONTROL!$C$22, $C$13, 100%, $E$13)</f>
        <v>12.8331</v>
      </c>
      <c r="H680" s="64">
        <f>21.7808* CHOOSE(CONTROL!$C$22, $C$13, 100%, $E$13)</f>
        <v>21.780799999999999</v>
      </c>
      <c r="I680" s="64">
        <f>21.7809 * CHOOSE(CONTROL!$C$22, $C$13, 100%, $E$13)</f>
        <v>21.780899999999999</v>
      </c>
      <c r="J680" s="64">
        <f>12.833 * CHOOSE(CONTROL!$C$22, $C$13, 100%, $E$13)</f>
        <v>12.833</v>
      </c>
      <c r="K680" s="64">
        <f>12.8331 * CHOOSE(CONTROL!$C$22, $C$13, 100%, $E$13)</f>
        <v>12.8331</v>
      </c>
    </row>
    <row r="681" spans="1:11" ht="15">
      <c r="A681" s="13">
        <v>62214</v>
      </c>
      <c r="B681" s="63">
        <f>11.0138 * CHOOSE(CONTROL!$C$22, $C$13, 100%, $E$13)</f>
        <v>11.0138</v>
      </c>
      <c r="C681" s="63">
        <f>11.0138 * CHOOSE(CONTROL!$C$22, $C$13, 100%, $E$13)</f>
        <v>11.0138</v>
      </c>
      <c r="D681" s="63">
        <f>11.0219 * CHOOSE(CONTROL!$C$22, $C$13, 100%, $E$13)</f>
        <v>11.0219</v>
      </c>
      <c r="E681" s="64">
        <f>12.903 * CHOOSE(CONTROL!$C$22, $C$13, 100%, $E$13)</f>
        <v>12.903</v>
      </c>
      <c r="F681" s="64">
        <f>12.903 * CHOOSE(CONTROL!$C$22, $C$13, 100%, $E$13)</f>
        <v>12.903</v>
      </c>
      <c r="G681" s="64">
        <f>12.9128 * CHOOSE(CONTROL!$C$22, $C$13, 100%, $E$13)</f>
        <v>12.912800000000001</v>
      </c>
      <c r="H681" s="64">
        <f>21.8262* CHOOSE(CONTROL!$C$22, $C$13, 100%, $E$13)</f>
        <v>21.8262</v>
      </c>
      <c r="I681" s="64">
        <f>21.836 * CHOOSE(CONTROL!$C$22, $C$13, 100%, $E$13)</f>
        <v>21.835999999999999</v>
      </c>
      <c r="J681" s="64">
        <f>12.903 * CHOOSE(CONTROL!$C$22, $C$13, 100%, $E$13)</f>
        <v>12.903</v>
      </c>
      <c r="K681" s="64">
        <f>12.9128 * CHOOSE(CONTROL!$C$22, $C$13, 100%, $E$13)</f>
        <v>12.912800000000001</v>
      </c>
    </row>
    <row r="682" spans="1:11" ht="15">
      <c r="A682" s="13">
        <v>62245</v>
      </c>
      <c r="B682" s="63">
        <f>11.0199 * CHOOSE(CONTROL!$C$22, $C$13, 100%, $E$13)</f>
        <v>11.0199</v>
      </c>
      <c r="C682" s="63">
        <f>11.0199 * CHOOSE(CONTROL!$C$22, $C$13, 100%, $E$13)</f>
        <v>11.0199</v>
      </c>
      <c r="D682" s="63">
        <f>11.028 * CHOOSE(CONTROL!$C$22, $C$13, 100%, $E$13)</f>
        <v>11.028</v>
      </c>
      <c r="E682" s="64">
        <f>12.8373 * CHOOSE(CONTROL!$C$22, $C$13, 100%, $E$13)</f>
        <v>12.837300000000001</v>
      </c>
      <c r="F682" s="64">
        <f>12.8373 * CHOOSE(CONTROL!$C$22, $C$13, 100%, $E$13)</f>
        <v>12.837300000000001</v>
      </c>
      <c r="G682" s="64">
        <f>12.8471 * CHOOSE(CONTROL!$C$22, $C$13, 100%, $E$13)</f>
        <v>12.847099999999999</v>
      </c>
      <c r="H682" s="64">
        <f>21.8716* CHOOSE(CONTROL!$C$22, $C$13, 100%, $E$13)</f>
        <v>21.871600000000001</v>
      </c>
      <c r="I682" s="64">
        <f>21.8815 * CHOOSE(CONTROL!$C$22, $C$13, 100%, $E$13)</f>
        <v>21.881499999999999</v>
      </c>
      <c r="J682" s="64">
        <f>12.8373 * CHOOSE(CONTROL!$C$22, $C$13, 100%, $E$13)</f>
        <v>12.837300000000001</v>
      </c>
      <c r="K682" s="64">
        <f>12.8471 * CHOOSE(CONTROL!$C$22, $C$13, 100%, $E$13)</f>
        <v>12.847099999999999</v>
      </c>
    </row>
    <row r="683" spans="1:11" ht="15">
      <c r="A683" s="13">
        <v>62275</v>
      </c>
      <c r="B683" s="63">
        <f>11.1891 * CHOOSE(CONTROL!$C$22, $C$13, 100%, $E$13)</f>
        <v>11.1891</v>
      </c>
      <c r="C683" s="63">
        <f>11.1891 * CHOOSE(CONTROL!$C$22, $C$13, 100%, $E$13)</f>
        <v>11.1891</v>
      </c>
      <c r="D683" s="63">
        <f>11.1972 * CHOOSE(CONTROL!$C$22, $C$13, 100%, $E$13)</f>
        <v>11.1972</v>
      </c>
      <c r="E683" s="64">
        <f>13.0438 * CHOOSE(CONTROL!$C$22, $C$13, 100%, $E$13)</f>
        <v>13.043799999999999</v>
      </c>
      <c r="F683" s="64">
        <f>13.0438 * CHOOSE(CONTROL!$C$22, $C$13, 100%, $E$13)</f>
        <v>13.043799999999999</v>
      </c>
      <c r="G683" s="64">
        <f>13.0537 * CHOOSE(CONTROL!$C$22, $C$13, 100%, $E$13)</f>
        <v>13.053699999999999</v>
      </c>
      <c r="H683" s="64">
        <f>21.9172* CHOOSE(CONTROL!$C$22, $C$13, 100%, $E$13)</f>
        <v>21.917200000000001</v>
      </c>
      <c r="I683" s="64">
        <f>21.927 * CHOOSE(CONTROL!$C$22, $C$13, 100%, $E$13)</f>
        <v>21.927</v>
      </c>
      <c r="J683" s="64">
        <f>13.0438 * CHOOSE(CONTROL!$C$22, $C$13, 100%, $E$13)</f>
        <v>13.043799999999999</v>
      </c>
      <c r="K683" s="64">
        <f>13.0537 * CHOOSE(CONTROL!$C$22, $C$13, 100%, $E$13)</f>
        <v>13.053699999999999</v>
      </c>
    </row>
    <row r="684" spans="1:11" ht="15">
      <c r="A684" s="13">
        <v>62306</v>
      </c>
      <c r="B684" s="63">
        <f>11.1958 * CHOOSE(CONTROL!$C$22, $C$13, 100%, $E$13)</f>
        <v>11.1958</v>
      </c>
      <c r="C684" s="63">
        <f>11.1958 * CHOOSE(CONTROL!$C$22, $C$13, 100%, $E$13)</f>
        <v>11.1958</v>
      </c>
      <c r="D684" s="63">
        <f>11.2039 * CHOOSE(CONTROL!$C$22, $C$13, 100%, $E$13)</f>
        <v>11.203900000000001</v>
      </c>
      <c r="E684" s="64">
        <f>12.8386 * CHOOSE(CONTROL!$C$22, $C$13, 100%, $E$13)</f>
        <v>12.8386</v>
      </c>
      <c r="F684" s="64">
        <f>12.8386 * CHOOSE(CONTROL!$C$22, $C$13, 100%, $E$13)</f>
        <v>12.8386</v>
      </c>
      <c r="G684" s="64">
        <f>12.8484 * CHOOSE(CONTROL!$C$22, $C$13, 100%, $E$13)</f>
        <v>12.8484</v>
      </c>
      <c r="H684" s="64">
        <f>21.9629* CHOOSE(CONTROL!$C$22, $C$13, 100%, $E$13)</f>
        <v>21.962900000000001</v>
      </c>
      <c r="I684" s="64">
        <f>21.9727 * CHOOSE(CONTROL!$C$22, $C$13, 100%, $E$13)</f>
        <v>21.9727</v>
      </c>
      <c r="J684" s="64">
        <f>12.8386 * CHOOSE(CONTROL!$C$22, $C$13, 100%, $E$13)</f>
        <v>12.8386</v>
      </c>
      <c r="K684" s="64">
        <f>12.8484 * CHOOSE(CONTROL!$C$22, $C$13, 100%, $E$13)</f>
        <v>12.8484</v>
      </c>
    </row>
    <row r="685" spans="1:11" ht="15">
      <c r="A685" s="13">
        <v>62337</v>
      </c>
      <c r="B685" s="63">
        <f>11.1927 * CHOOSE(CONTROL!$C$22, $C$13, 100%, $E$13)</f>
        <v>11.1927</v>
      </c>
      <c r="C685" s="63">
        <f>11.1927 * CHOOSE(CONTROL!$C$22, $C$13, 100%, $E$13)</f>
        <v>11.1927</v>
      </c>
      <c r="D685" s="63">
        <f>11.2008 * CHOOSE(CONTROL!$C$22, $C$13, 100%, $E$13)</f>
        <v>11.200799999999999</v>
      </c>
      <c r="E685" s="64">
        <f>12.8131 * CHOOSE(CONTROL!$C$22, $C$13, 100%, $E$13)</f>
        <v>12.8131</v>
      </c>
      <c r="F685" s="64">
        <f>12.8131 * CHOOSE(CONTROL!$C$22, $C$13, 100%, $E$13)</f>
        <v>12.8131</v>
      </c>
      <c r="G685" s="64">
        <f>12.823 * CHOOSE(CONTROL!$C$22, $C$13, 100%, $E$13)</f>
        <v>12.823</v>
      </c>
      <c r="H685" s="64">
        <f>22.0086* CHOOSE(CONTROL!$C$22, $C$13, 100%, $E$13)</f>
        <v>22.008600000000001</v>
      </c>
      <c r="I685" s="64">
        <f>22.0184 * CHOOSE(CONTROL!$C$22, $C$13, 100%, $E$13)</f>
        <v>22.0184</v>
      </c>
      <c r="J685" s="64">
        <f>12.8131 * CHOOSE(CONTROL!$C$22, $C$13, 100%, $E$13)</f>
        <v>12.8131</v>
      </c>
      <c r="K685" s="64">
        <f>12.823 * CHOOSE(CONTROL!$C$22, $C$13, 100%, $E$13)</f>
        <v>12.823</v>
      </c>
    </row>
    <row r="686" spans="1:11" ht="15">
      <c r="A686" s="13">
        <v>62367</v>
      </c>
      <c r="B686" s="63">
        <f>11.2111 * CHOOSE(CONTROL!$C$22, $C$13, 100%, $E$13)</f>
        <v>11.2111</v>
      </c>
      <c r="C686" s="63">
        <f>11.2111 * CHOOSE(CONTROL!$C$22, $C$13, 100%, $E$13)</f>
        <v>11.2111</v>
      </c>
      <c r="D686" s="63">
        <f>11.2111 * CHOOSE(CONTROL!$C$22, $C$13, 100%, $E$13)</f>
        <v>11.2111</v>
      </c>
      <c r="E686" s="64">
        <f>12.893 * CHOOSE(CONTROL!$C$22, $C$13, 100%, $E$13)</f>
        <v>12.893000000000001</v>
      </c>
      <c r="F686" s="64">
        <f>12.893 * CHOOSE(CONTROL!$C$22, $C$13, 100%, $E$13)</f>
        <v>12.893000000000001</v>
      </c>
      <c r="G686" s="64">
        <f>12.8931 * CHOOSE(CONTROL!$C$22, $C$13, 100%, $E$13)</f>
        <v>12.8931</v>
      </c>
      <c r="H686" s="64">
        <f>22.0545* CHOOSE(CONTROL!$C$22, $C$13, 100%, $E$13)</f>
        <v>22.054500000000001</v>
      </c>
      <c r="I686" s="64">
        <f>22.0545 * CHOOSE(CONTROL!$C$22, $C$13, 100%, $E$13)</f>
        <v>22.054500000000001</v>
      </c>
      <c r="J686" s="64">
        <f>12.893 * CHOOSE(CONTROL!$C$22, $C$13, 100%, $E$13)</f>
        <v>12.893000000000001</v>
      </c>
      <c r="K686" s="64">
        <f>12.8931 * CHOOSE(CONTROL!$C$22, $C$13, 100%, $E$13)</f>
        <v>12.8931</v>
      </c>
    </row>
    <row r="687" spans="1:11" ht="15">
      <c r="A687" s="13">
        <v>62398</v>
      </c>
      <c r="B687" s="63">
        <f>11.2141 * CHOOSE(CONTROL!$C$22, $C$13, 100%, $E$13)</f>
        <v>11.2141</v>
      </c>
      <c r="C687" s="63">
        <f>11.2141 * CHOOSE(CONTROL!$C$22, $C$13, 100%, $E$13)</f>
        <v>11.2141</v>
      </c>
      <c r="D687" s="63">
        <f>11.2141 * CHOOSE(CONTROL!$C$22, $C$13, 100%, $E$13)</f>
        <v>11.2141</v>
      </c>
      <c r="E687" s="64">
        <f>12.9418 * CHOOSE(CONTROL!$C$22, $C$13, 100%, $E$13)</f>
        <v>12.941800000000001</v>
      </c>
      <c r="F687" s="64">
        <f>12.9418 * CHOOSE(CONTROL!$C$22, $C$13, 100%, $E$13)</f>
        <v>12.941800000000001</v>
      </c>
      <c r="G687" s="64">
        <f>12.9419 * CHOOSE(CONTROL!$C$22, $C$13, 100%, $E$13)</f>
        <v>12.9419</v>
      </c>
      <c r="H687" s="64">
        <f>22.1004* CHOOSE(CONTROL!$C$22, $C$13, 100%, $E$13)</f>
        <v>22.1004</v>
      </c>
      <c r="I687" s="64">
        <f>22.1005 * CHOOSE(CONTROL!$C$22, $C$13, 100%, $E$13)</f>
        <v>22.1005</v>
      </c>
      <c r="J687" s="64">
        <f>12.9418 * CHOOSE(CONTROL!$C$22, $C$13, 100%, $E$13)</f>
        <v>12.941800000000001</v>
      </c>
      <c r="K687" s="64">
        <f>12.9419 * CHOOSE(CONTROL!$C$22, $C$13, 100%, $E$13)</f>
        <v>12.9419</v>
      </c>
    </row>
    <row r="688" spans="1:11" ht="15">
      <c r="A688" s="13">
        <v>62428</v>
      </c>
      <c r="B688" s="63">
        <f>11.2141 * CHOOSE(CONTROL!$C$22, $C$13, 100%, $E$13)</f>
        <v>11.2141</v>
      </c>
      <c r="C688" s="63">
        <f>11.2141 * CHOOSE(CONTROL!$C$22, $C$13, 100%, $E$13)</f>
        <v>11.2141</v>
      </c>
      <c r="D688" s="63">
        <f>11.2141 * CHOOSE(CONTROL!$C$22, $C$13, 100%, $E$13)</f>
        <v>11.2141</v>
      </c>
      <c r="E688" s="64">
        <f>12.8252 * CHOOSE(CONTROL!$C$22, $C$13, 100%, $E$13)</f>
        <v>12.825200000000001</v>
      </c>
      <c r="F688" s="64">
        <f>12.8252 * CHOOSE(CONTROL!$C$22, $C$13, 100%, $E$13)</f>
        <v>12.825200000000001</v>
      </c>
      <c r="G688" s="64">
        <f>12.8252 * CHOOSE(CONTROL!$C$22, $C$13, 100%, $E$13)</f>
        <v>12.825200000000001</v>
      </c>
      <c r="H688" s="64">
        <f>22.1465* CHOOSE(CONTROL!$C$22, $C$13, 100%, $E$13)</f>
        <v>22.1465</v>
      </c>
      <c r="I688" s="64">
        <f>22.1465 * CHOOSE(CONTROL!$C$22, $C$13, 100%, $E$13)</f>
        <v>22.1465</v>
      </c>
      <c r="J688" s="64">
        <f>12.8252 * CHOOSE(CONTROL!$C$22, $C$13, 100%, $E$13)</f>
        <v>12.825200000000001</v>
      </c>
      <c r="K688" s="64">
        <f>12.8252 * CHOOSE(CONTROL!$C$22, $C$13, 100%, $E$13)</f>
        <v>12.825200000000001</v>
      </c>
    </row>
    <row r="689" spans="1:11" ht="15">
      <c r="A689" s="13">
        <v>62459</v>
      </c>
      <c r="B689" s="63">
        <f>11.2519 * CHOOSE(CONTROL!$C$22, $C$13, 100%, $E$13)</f>
        <v>11.251899999999999</v>
      </c>
      <c r="C689" s="63">
        <f>11.2519 * CHOOSE(CONTROL!$C$22, $C$13, 100%, $E$13)</f>
        <v>11.251899999999999</v>
      </c>
      <c r="D689" s="63">
        <f>11.2519 * CHOOSE(CONTROL!$C$22, $C$13, 100%, $E$13)</f>
        <v>11.251899999999999</v>
      </c>
      <c r="E689" s="64">
        <f>12.9563 * CHOOSE(CONTROL!$C$22, $C$13, 100%, $E$13)</f>
        <v>12.956300000000001</v>
      </c>
      <c r="F689" s="64">
        <f>12.9563 * CHOOSE(CONTROL!$C$22, $C$13, 100%, $E$13)</f>
        <v>12.956300000000001</v>
      </c>
      <c r="G689" s="64">
        <f>12.9563 * CHOOSE(CONTROL!$C$22, $C$13, 100%, $E$13)</f>
        <v>12.956300000000001</v>
      </c>
      <c r="H689" s="64">
        <f>22.0911* CHOOSE(CONTROL!$C$22, $C$13, 100%, $E$13)</f>
        <v>22.091100000000001</v>
      </c>
      <c r="I689" s="64">
        <f>22.0912 * CHOOSE(CONTROL!$C$22, $C$13, 100%, $E$13)</f>
        <v>22.091200000000001</v>
      </c>
      <c r="J689" s="64">
        <f>12.9563 * CHOOSE(CONTROL!$C$22, $C$13, 100%, $E$13)</f>
        <v>12.956300000000001</v>
      </c>
      <c r="K689" s="64">
        <f>12.9563 * CHOOSE(CONTROL!$C$22, $C$13, 100%, $E$13)</f>
        <v>12.956300000000001</v>
      </c>
    </row>
    <row r="690" spans="1:11" ht="15">
      <c r="A690" s="13">
        <v>62490</v>
      </c>
      <c r="B690" s="63">
        <f>11.2488 * CHOOSE(CONTROL!$C$22, $C$13, 100%, $E$13)</f>
        <v>11.248799999999999</v>
      </c>
      <c r="C690" s="63">
        <f>11.2488 * CHOOSE(CONTROL!$C$22, $C$13, 100%, $E$13)</f>
        <v>11.248799999999999</v>
      </c>
      <c r="D690" s="63">
        <f>11.2489 * CHOOSE(CONTROL!$C$22, $C$13, 100%, $E$13)</f>
        <v>11.248900000000001</v>
      </c>
      <c r="E690" s="64">
        <f>12.7288 * CHOOSE(CONTROL!$C$22, $C$13, 100%, $E$13)</f>
        <v>12.7288</v>
      </c>
      <c r="F690" s="64">
        <f>12.7288 * CHOOSE(CONTROL!$C$22, $C$13, 100%, $E$13)</f>
        <v>12.7288</v>
      </c>
      <c r="G690" s="64">
        <f>12.7289 * CHOOSE(CONTROL!$C$22, $C$13, 100%, $E$13)</f>
        <v>12.728899999999999</v>
      </c>
      <c r="H690" s="64">
        <f>22.1371* CHOOSE(CONTROL!$C$22, $C$13, 100%, $E$13)</f>
        <v>22.1371</v>
      </c>
      <c r="I690" s="64">
        <f>22.1372 * CHOOSE(CONTROL!$C$22, $C$13, 100%, $E$13)</f>
        <v>22.1372</v>
      </c>
      <c r="J690" s="64">
        <f>12.7288 * CHOOSE(CONTROL!$C$22, $C$13, 100%, $E$13)</f>
        <v>12.7288</v>
      </c>
      <c r="K690" s="64">
        <f>12.7289 * CHOOSE(CONTROL!$C$22, $C$13, 100%, $E$13)</f>
        <v>12.728899999999999</v>
      </c>
    </row>
    <row r="691" spans="1:11" ht="15">
      <c r="A691" s="13">
        <v>62518</v>
      </c>
      <c r="B691" s="63">
        <f>11.2458 * CHOOSE(CONTROL!$C$22, $C$13, 100%, $E$13)</f>
        <v>11.245799999999999</v>
      </c>
      <c r="C691" s="63">
        <f>11.2458 * CHOOSE(CONTROL!$C$22, $C$13, 100%, $E$13)</f>
        <v>11.245799999999999</v>
      </c>
      <c r="D691" s="63">
        <f>11.2458 * CHOOSE(CONTROL!$C$22, $C$13, 100%, $E$13)</f>
        <v>11.245799999999999</v>
      </c>
      <c r="E691" s="64">
        <f>12.9043 * CHOOSE(CONTROL!$C$22, $C$13, 100%, $E$13)</f>
        <v>12.904299999999999</v>
      </c>
      <c r="F691" s="64">
        <f>12.9043 * CHOOSE(CONTROL!$C$22, $C$13, 100%, $E$13)</f>
        <v>12.904299999999999</v>
      </c>
      <c r="G691" s="64">
        <f>12.9044 * CHOOSE(CONTROL!$C$22, $C$13, 100%, $E$13)</f>
        <v>12.904400000000001</v>
      </c>
      <c r="H691" s="64">
        <f>22.1833* CHOOSE(CONTROL!$C$22, $C$13, 100%, $E$13)</f>
        <v>22.183299999999999</v>
      </c>
      <c r="I691" s="64">
        <f>22.1833 * CHOOSE(CONTROL!$C$22, $C$13, 100%, $E$13)</f>
        <v>22.183299999999999</v>
      </c>
      <c r="J691" s="64">
        <f>12.9043 * CHOOSE(CONTROL!$C$22, $C$13, 100%, $E$13)</f>
        <v>12.904299999999999</v>
      </c>
      <c r="K691" s="64">
        <f>12.9044 * CHOOSE(CONTROL!$C$22, $C$13, 100%, $E$13)</f>
        <v>12.904400000000001</v>
      </c>
    </row>
    <row r="692" spans="1:11" ht="15">
      <c r="A692" s="13">
        <v>62549</v>
      </c>
      <c r="B692" s="63">
        <f>11.2496 * CHOOSE(CONTROL!$C$22, $C$13, 100%, $E$13)</f>
        <v>11.249599999999999</v>
      </c>
      <c r="C692" s="63">
        <f>11.2496 * CHOOSE(CONTROL!$C$22, $C$13, 100%, $E$13)</f>
        <v>11.249599999999999</v>
      </c>
      <c r="D692" s="63">
        <f>11.2496 * CHOOSE(CONTROL!$C$22, $C$13, 100%, $E$13)</f>
        <v>11.249599999999999</v>
      </c>
      <c r="E692" s="64">
        <f>13.0909 * CHOOSE(CONTROL!$C$22, $C$13, 100%, $E$13)</f>
        <v>13.0909</v>
      </c>
      <c r="F692" s="64">
        <f>13.0909 * CHOOSE(CONTROL!$C$22, $C$13, 100%, $E$13)</f>
        <v>13.0909</v>
      </c>
      <c r="G692" s="64">
        <f>13.091 * CHOOSE(CONTROL!$C$22, $C$13, 100%, $E$13)</f>
        <v>13.090999999999999</v>
      </c>
      <c r="H692" s="64">
        <f>22.2295* CHOOSE(CONTROL!$C$22, $C$13, 100%, $E$13)</f>
        <v>22.229500000000002</v>
      </c>
      <c r="I692" s="64">
        <f>22.2295 * CHOOSE(CONTROL!$C$22, $C$13, 100%, $E$13)</f>
        <v>22.229500000000002</v>
      </c>
      <c r="J692" s="64">
        <f>13.0909 * CHOOSE(CONTROL!$C$22, $C$13, 100%, $E$13)</f>
        <v>13.0909</v>
      </c>
      <c r="K692" s="64">
        <f>13.091 * CHOOSE(CONTROL!$C$22, $C$13, 100%, $E$13)</f>
        <v>13.090999999999999</v>
      </c>
    </row>
    <row r="693" spans="1:11" ht="15">
      <c r="A693" s="13">
        <v>62579</v>
      </c>
      <c r="B693" s="63">
        <f>11.2496 * CHOOSE(CONTROL!$C$22, $C$13, 100%, $E$13)</f>
        <v>11.249599999999999</v>
      </c>
      <c r="C693" s="63">
        <f>11.2496 * CHOOSE(CONTROL!$C$22, $C$13, 100%, $E$13)</f>
        <v>11.249599999999999</v>
      </c>
      <c r="D693" s="63">
        <f>11.2577 * CHOOSE(CONTROL!$C$22, $C$13, 100%, $E$13)</f>
        <v>11.2577</v>
      </c>
      <c r="E693" s="64">
        <f>13.1624 * CHOOSE(CONTROL!$C$22, $C$13, 100%, $E$13)</f>
        <v>13.1624</v>
      </c>
      <c r="F693" s="64">
        <f>13.1624 * CHOOSE(CONTROL!$C$22, $C$13, 100%, $E$13)</f>
        <v>13.1624</v>
      </c>
      <c r="G693" s="64">
        <f>13.1723 * CHOOSE(CONTROL!$C$22, $C$13, 100%, $E$13)</f>
        <v>13.1723</v>
      </c>
      <c r="H693" s="64">
        <f>22.2758* CHOOSE(CONTROL!$C$22, $C$13, 100%, $E$13)</f>
        <v>22.2758</v>
      </c>
      <c r="I693" s="64">
        <f>22.2856 * CHOOSE(CONTROL!$C$22, $C$13, 100%, $E$13)</f>
        <v>22.285599999999999</v>
      </c>
      <c r="J693" s="64">
        <f>13.1624 * CHOOSE(CONTROL!$C$22, $C$13, 100%, $E$13)</f>
        <v>13.1624</v>
      </c>
      <c r="K693" s="64">
        <f>13.1723 * CHOOSE(CONTROL!$C$22, $C$13, 100%, $E$13)</f>
        <v>13.1723</v>
      </c>
    </row>
    <row r="694" spans="1:11" ht="15">
      <c r="A694" s="13">
        <v>62610</v>
      </c>
      <c r="B694" s="63">
        <f>11.2556 * CHOOSE(CONTROL!$C$22, $C$13, 100%, $E$13)</f>
        <v>11.255599999999999</v>
      </c>
      <c r="C694" s="63">
        <f>11.2556 * CHOOSE(CONTROL!$C$22, $C$13, 100%, $E$13)</f>
        <v>11.255599999999999</v>
      </c>
      <c r="D694" s="63">
        <f>11.2638 * CHOOSE(CONTROL!$C$22, $C$13, 100%, $E$13)</f>
        <v>11.2638</v>
      </c>
      <c r="E694" s="64">
        <f>13.0951 * CHOOSE(CONTROL!$C$22, $C$13, 100%, $E$13)</f>
        <v>13.0951</v>
      </c>
      <c r="F694" s="64">
        <f>13.0951 * CHOOSE(CONTROL!$C$22, $C$13, 100%, $E$13)</f>
        <v>13.0951</v>
      </c>
      <c r="G694" s="64">
        <f>13.1049 * CHOOSE(CONTROL!$C$22, $C$13, 100%, $E$13)</f>
        <v>13.104900000000001</v>
      </c>
      <c r="H694" s="64">
        <f>22.3222* CHOOSE(CONTROL!$C$22, $C$13, 100%, $E$13)</f>
        <v>22.322199999999999</v>
      </c>
      <c r="I694" s="64">
        <f>22.332 * CHOOSE(CONTROL!$C$22, $C$13, 100%, $E$13)</f>
        <v>22.332000000000001</v>
      </c>
      <c r="J694" s="64">
        <f>13.0951 * CHOOSE(CONTROL!$C$22, $C$13, 100%, $E$13)</f>
        <v>13.0951</v>
      </c>
      <c r="K694" s="64">
        <f>13.1049 * CHOOSE(CONTROL!$C$22, $C$13, 100%, $E$13)</f>
        <v>13.104900000000001</v>
      </c>
    </row>
    <row r="695" spans="1:11" ht="15">
      <c r="A695" s="13">
        <v>62640</v>
      </c>
      <c r="B695" s="63">
        <f>11.4283 * CHOOSE(CONTROL!$C$22, $C$13, 100%, $E$13)</f>
        <v>11.4283</v>
      </c>
      <c r="C695" s="63">
        <f>11.4283 * CHOOSE(CONTROL!$C$22, $C$13, 100%, $E$13)</f>
        <v>11.4283</v>
      </c>
      <c r="D695" s="63">
        <f>11.4364 * CHOOSE(CONTROL!$C$22, $C$13, 100%, $E$13)</f>
        <v>11.436400000000001</v>
      </c>
      <c r="E695" s="64">
        <f>13.3056 * CHOOSE(CONTROL!$C$22, $C$13, 100%, $E$13)</f>
        <v>13.3056</v>
      </c>
      <c r="F695" s="64">
        <f>13.3056 * CHOOSE(CONTROL!$C$22, $C$13, 100%, $E$13)</f>
        <v>13.3056</v>
      </c>
      <c r="G695" s="64">
        <f>13.3154 * CHOOSE(CONTROL!$C$22, $C$13, 100%, $E$13)</f>
        <v>13.3154</v>
      </c>
      <c r="H695" s="64">
        <f>22.3687* CHOOSE(CONTROL!$C$22, $C$13, 100%, $E$13)</f>
        <v>22.3687</v>
      </c>
      <c r="I695" s="64">
        <f>22.3785 * CHOOSE(CONTROL!$C$22, $C$13, 100%, $E$13)</f>
        <v>22.378499999999999</v>
      </c>
      <c r="J695" s="64">
        <f>13.3056 * CHOOSE(CONTROL!$C$22, $C$13, 100%, $E$13)</f>
        <v>13.3056</v>
      </c>
      <c r="K695" s="64">
        <f>13.3154 * CHOOSE(CONTROL!$C$22, $C$13, 100%, $E$13)</f>
        <v>13.3154</v>
      </c>
    </row>
    <row r="696" spans="1:11" ht="15">
      <c r="A696" s="13">
        <v>62671</v>
      </c>
      <c r="B696" s="63">
        <f>11.435 * CHOOSE(CONTROL!$C$22, $C$13, 100%, $E$13)</f>
        <v>11.435</v>
      </c>
      <c r="C696" s="63">
        <f>11.435 * CHOOSE(CONTROL!$C$22, $C$13, 100%, $E$13)</f>
        <v>11.435</v>
      </c>
      <c r="D696" s="63">
        <f>11.4431 * CHOOSE(CONTROL!$C$22, $C$13, 100%, $E$13)</f>
        <v>11.443099999999999</v>
      </c>
      <c r="E696" s="64">
        <f>13.0956 * CHOOSE(CONTROL!$C$22, $C$13, 100%, $E$13)</f>
        <v>13.095599999999999</v>
      </c>
      <c r="F696" s="64">
        <f>13.0956 * CHOOSE(CONTROL!$C$22, $C$13, 100%, $E$13)</f>
        <v>13.095599999999999</v>
      </c>
      <c r="G696" s="64">
        <f>13.1055 * CHOOSE(CONTROL!$C$22, $C$13, 100%, $E$13)</f>
        <v>13.105499999999999</v>
      </c>
      <c r="H696" s="64">
        <f>22.4153* CHOOSE(CONTROL!$C$22, $C$13, 100%, $E$13)</f>
        <v>22.415299999999998</v>
      </c>
      <c r="I696" s="64">
        <f>22.4251 * CHOOSE(CONTROL!$C$22, $C$13, 100%, $E$13)</f>
        <v>22.4251</v>
      </c>
      <c r="J696" s="64">
        <f>13.0956 * CHOOSE(CONTROL!$C$22, $C$13, 100%, $E$13)</f>
        <v>13.095599999999999</v>
      </c>
      <c r="K696" s="64">
        <f>13.1055 * CHOOSE(CONTROL!$C$22, $C$13, 100%, $E$13)</f>
        <v>13.105499999999999</v>
      </c>
    </row>
    <row r="697" spans="1:11" ht="15">
      <c r="A697" s="13">
        <v>62702</v>
      </c>
      <c r="B697" s="63">
        <f>11.4319 * CHOOSE(CONTROL!$C$22, $C$13, 100%, $E$13)</f>
        <v>11.431900000000001</v>
      </c>
      <c r="C697" s="63">
        <f>11.4319 * CHOOSE(CONTROL!$C$22, $C$13, 100%, $E$13)</f>
        <v>11.431900000000001</v>
      </c>
      <c r="D697" s="63">
        <f>11.44 * CHOOSE(CONTROL!$C$22, $C$13, 100%, $E$13)</f>
        <v>11.44</v>
      </c>
      <c r="E697" s="64">
        <f>13.0697 * CHOOSE(CONTROL!$C$22, $C$13, 100%, $E$13)</f>
        <v>13.069699999999999</v>
      </c>
      <c r="F697" s="64">
        <f>13.0697 * CHOOSE(CONTROL!$C$22, $C$13, 100%, $E$13)</f>
        <v>13.069699999999999</v>
      </c>
      <c r="G697" s="64">
        <f>13.0795 * CHOOSE(CONTROL!$C$22, $C$13, 100%, $E$13)</f>
        <v>13.079499999999999</v>
      </c>
      <c r="H697" s="64">
        <f>22.462* CHOOSE(CONTROL!$C$22, $C$13, 100%, $E$13)</f>
        <v>22.462</v>
      </c>
      <c r="I697" s="64">
        <f>22.4718 * CHOOSE(CONTROL!$C$22, $C$13, 100%, $E$13)</f>
        <v>22.471800000000002</v>
      </c>
      <c r="J697" s="64">
        <f>13.0697 * CHOOSE(CONTROL!$C$22, $C$13, 100%, $E$13)</f>
        <v>13.069699999999999</v>
      </c>
      <c r="K697" s="64">
        <f>13.0795 * CHOOSE(CONTROL!$C$22, $C$13, 100%, $E$13)</f>
        <v>13.079499999999999</v>
      </c>
    </row>
    <row r="698" spans="1:11" ht="15">
      <c r="A698" s="13">
        <v>62732</v>
      </c>
      <c r="B698" s="63">
        <f>11.451 * CHOOSE(CONTROL!$C$22, $C$13, 100%, $E$13)</f>
        <v>11.451000000000001</v>
      </c>
      <c r="C698" s="63">
        <f>11.451 * CHOOSE(CONTROL!$C$22, $C$13, 100%, $E$13)</f>
        <v>11.451000000000001</v>
      </c>
      <c r="D698" s="63">
        <f>11.451 * CHOOSE(CONTROL!$C$22, $C$13, 100%, $E$13)</f>
        <v>11.451000000000001</v>
      </c>
      <c r="E698" s="64">
        <f>13.1516 * CHOOSE(CONTROL!$C$22, $C$13, 100%, $E$13)</f>
        <v>13.1516</v>
      </c>
      <c r="F698" s="64">
        <f>13.1516 * CHOOSE(CONTROL!$C$22, $C$13, 100%, $E$13)</f>
        <v>13.1516</v>
      </c>
      <c r="G698" s="64">
        <f>13.1517 * CHOOSE(CONTROL!$C$22, $C$13, 100%, $E$13)</f>
        <v>13.1517</v>
      </c>
      <c r="H698" s="64">
        <f>22.5088* CHOOSE(CONTROL!$C$22, $C$13, 100%, $E$13)</f>
        <v>22.508800000000001</v>
      </c>
      <c r="I698" s="64">
        <f>22.5089 * CHOOSE(CONTROL!$C$22, $C$13, 100%, $E$13)</f>
        <v>22.508900000000001</v>
      </c>
      <c r="J698" s="64">
        <f>13.1516 * CHOOSE(CONTROL!$C$22, $C$13, 100%, $E$13)</f>
        <v>13.1516</v>
      </c>
      <c r="K698" s="64">
        <f>13.1517 * CHOOSE(CONTROL!$C$22, $C$13, 100%, $E$13)</f>
        <v>13.1517</v>
      </c>
    </row>
    <row r="699" spans="1:11" ht="15">
      <c r="A699" s="13">
        <v>62763</v>
      </c>
      <c r="B699" s="63">
        <f>11.4541 * CHOOSE(CONTROL!$C$22, $C$13, 100%, $E$13)</f>
        <v>11.4541</v>
      </c>
      <c r="C699" s="63">
        <f>11.4541 * CHOOSE(CONTROL!$C$22, $C$13, 100%, $E$13)</f>
        <v>11.4541</v>
      </c>
      <c r="D699" s="63">
        <f>11.4541 * CHOOSE(CONTROL!$C$22, $C$13, 100%, $E$13)</f>
        <v>11.4541</v>
      </c>
      <c r="E699" s="64">
        <f>13.2015 * CHOOSE(CONTROL!$C$22, $C$13, 100%, $E$13)</f>
        <v>13.201499999999999</v>
      </c>
      <c r="F699" s="64">
        <f>13.2015 * CHOOSE(CONTROL!$C$22, $C$13, 100%, $E$13)</f>
        <v>13.201499999999999</v>
      </c>
      <c r="G699" s="64">
        <f>13.2015 * CHOOSE(CONTROL!$C$22, $C$13, 100%, $E$13)</f>
        <v>13.201499999999999</v>
      </c>
      <c r="H699" s="64">
        <f>22.5557* CHOOSE(CONTROL!$C$22, $C$13, 100%, $E$13)</f>
        <v>22.555700000000002</v>
      </c>
      <c r="I699" s="64">
        <f>22.5558 * CHOOSE(CONTROL!$C$22, $C$13, 100%, $E$13)</f>
        <v>22.555800000000001</v>
      </c>
      <c r="J699" s="64">
        <f>13.2015 * CHOOSE(CONTROL!$C$22, $C$13, 100%, $E$13)</f>
        <v>13.201499999999999</v>
      </c>
      <c r="K699" s="64">
        <f>13.2015 * CHOOSE(CONTROL!$C$22, $C$13, 100%, $E$13)</f>
        <v>13.201499999999999</v>
      </c>
    </row>
    <row r="700" spans="1:11" ht="15">
      <c r="A700" s="13">
        <v>62793</v>
      </c>
      <c r="B700" s="63">
        <f>11.4541 * CHOOSE(CONTROL!$C$22, $C$13, 100%, $E$13)</f>
        <v>11.4541</v>
      </c>
      <c r="C700" s="63">
        <f>11.4541 * CHOOSE(CONTROL!$C$22, $C$13, 100%, $E$13)</f>
        <v>11.4541</v>
      </c>
      <c r="D700" s="63">
        <f>11.4541 * CHOOSE(CONTROL!$C$22, $C$13, 100%, $E$13)</f>
        <v>11.4541</v>
      </c>
      <c r="E700" s="64">
        <f>13.0822 * CHOOSE(CONTROL!$C$22, $C$13, 100%, $E$13)</f>
        <v>13.0822</v>
      </c>
      <c r="F700" s="64">
        <f>13.0822 * CHOOSE(CONTROL!$C$22, $C$13, 100%, $E$13)</f>
        <v>13.0822</v>
      </c>
      <c r="G700" s="64">
        <f>13.0823 * CHOOSE(CONTROL!$C$22, $C$13, 100%, $E$13)</f>
        <v>13.0823</v>
      </c>
      <c r="H700" s="64">
        <f>22.6027* CHOOSE(CONTROL!$C$22, $C$13, 100%, $E$13)</f>
        <v>22.602699999999999</v>
      </c>
      <c r="I700" s="64">
        <f>22.6028 * CHOOSE(CONTROL!$C$22, $C$13, 100%, $E$13)</f>
        <v>22.602799999999998</v>
      </c>
      <c r="J700" s="64">
        <f>13.0822 * CHOOSE(CONTROL!$C$22, $C$13, 100%, $E$13)</f>
        <v>13.0822</v>
      </c>
      <c r="K700" s="64">
        <f>13.0823 * CHOOSE(CONTROL!$C$22, $C$13, 100%, $E$13)</f>
        <v>13.0823</v>
      </c>
    </row>
    <row r="701" spans="1:11" ht="15">
      <c r="A701" s="13">
        <v>62824</v>
      </c>
      <c r="B701" s="63">
        <f>11.4875 * CHOOSE(CONTROL!$C$22, $C$13, 100%, $E$13)</f>
        <v>11.487500000000001</v>
      </c>
      <c r="C701" s="63">
        <f>11.4875 * CHOOSE(CONTROL!$C$22, $C$13, 100%, $E$13)</f>
        <v>11.487500000000001</v>
      </c>
      <c r="D701" s="63">
        <f>11.4875 * CHOOSE(CONTROL!$C$22, $C$13, 100%, $E$13)</f>
        <v>11.487500000000001</v>
      </c>
      <c r="E701" s="64">
        <f>13.211 * CHOOSE(CONTROL!$C$22, $C$13, 100%, $E$13)</f>
        <v>13.211</v>
      </c>
      <c r="F701" s="64">
        <f>13.211 * CHOOSE(CONTROL!$C$22, $C$13, 100%, $E$13)</f>
        <v>13.211</v>
      </c>
      <c r="G701" s="64">
        <f>13.2111 * CHOOSE(CONTROL!$C$22, $C$13, 100%, $E$13)</f>
        <v>13.2111</v>
      </c>
      <c r="H701" s="64">
        <f>22.537* CHOOSE(CONTROL!$C$22, $C$13, 100%, $E$13)</f>
        <v>22.536999999999999</v>
      </c>
      <c r="I701" s="64">
        <f>22.5371 * CHOOSE(CONTROL!$C$22, $C$13, 100%, $E$13)</f>
        <v>22.537099999999999</v>
      </c>
      <c r="J701" s="64">
        <f>13.211 * CHOOSE(CONTROL!$C$22, $C$13, 100%, $E$13)</f>
        <v>13.211</v>
      </c>
      <c r="K701" s="64">
        <f>13.2111 * CHOOSE(CONTROL!$C$22, $C$13, 100%, $E$13)</f>
        <v>13.2111</v>
      </c>
    </row>
    <row r="702" spans="1:11" ht="15">
      <c r="A702" s="13">
        <v>62855</v>
      </c>
      <c r="B702" s="63">
        <f>11.4844 * CHOOSE(CONTROL!$C$22, $C$13, 100%, $E$13)</f>
        <v>11.484400000000001</v>
      </c>
      <c r="C702" s="63">
        <f>11.4844 * CHOOSE(CONTROL!$C$22, $C$13, 100%, $E$13)</f>
        <v>11.484400000000001</v>
      </c>
      <c r="D702" s="63">
        <f>11.4844 * CHOOSE(CONTROL!$C$22, $C$13, 100%, $E$13)</f>
        <v>11.484400000000001</v>
      </c>
      <c r="E702" s="64">
        <f>12.9786 * CHOOSE(CONTROL!$C$22, $C$13, 100%, $E$13)</f>
        <v>12.9786</v>
      </c>
      <c r="F702" s="64">
        <f>12.9786 * CHOOSE(CONTROL!$C$22, $C$13, 100%, $E$13)</f>
        <v>12.9786</v>
      </c>
      <c r="G702" s="64">
        <f>12.9787 * CHOOSE(CONTROL!$C$22, $C$13, 100%, $E$13)</f>
        <v>12.9787</v>
      </c>
      <c r="H702" s="64">
        <f>22.584* CHOOSE(CONTROL!$C$22, $C$13, 100%, $E$13)</f>
        <v>22.584</v>
      </c>
      <c r="I702" s="64">
        <f>22.584 * CHOOSE(CONTROL!$C$22, $C$13, 100%, $E$13)</f>
        <v>22.584</v>
      </c>
      <c r="J702" s="64">
        <f>12.9786 * CHOOSE(CONTROL!$C$22, $C$13, 100%, $E$13)</f>
        <v>12.9786</v>
      </c>
      <c r="K702" s="64">
        <f>12.9787 * CHOOSE(CONTROL!$C$22, $C$13, 100%, $E$13)</f>
        <v>12.9787</v>
      </c>
    </row>
    <row r="703" spans="1:11" ht="15">
      <c r="A703" s="13">
        <v>62884</v>
      </c>
      <c r="B703" s="63">
        <f>11.4814 * CHOOSE(CONTROL!$C$22, $C$13, 100%, $E$13)</f>
        <v>11.481400000000001</v>
      </c>
      <c r="C703" s="63">
        <f>11.4814 * CHOOSE(CONTROL!$C$22, $C$13, 100%, $E$13)</f>
        <v>11.481400000000001</v>
      </c>
      <c r="D703" s="63">
        <f>11.4814 * CHOOSE(CONTROL!$C$22, $C$13, 100%, $E$13)</f>
        <v>11.481400000000001</v>
      </c>
      <c r="E703" s="64">
        <f>13.158 * CHOOSE(CONTROL!$C$22, $C$13, 100%, $E$13)</f>
        <v>13.157999999999999</v>
      </c>
      <c r="F703" s="64">
        <f>13.158 * CHOOSE(CONTROL!$C$22, $C$13, 100%, $E$13)</f>
        <v>13.157999999999999</v>
      </c>
      <c r="G703" s="64">
        <f>13.1581 * CHOOSE(CONTROL!$C$22, $C$13, 100%, $E$13)</f>
        <v>13.158099999999999</v>
      </c>
      <c r="H703" s="64">
        <f>22.631* CHOOSE(CONTROL!$C$22, $C$13, 100%, $E$13)</f>
        <v>22.631</v>
      </c>
      <c r="I703" s="64">
        <f>22.6311 * CHOOSE(CONTROL!$C$22, $C$13, 100%, $E$13)</f>
        <v>22.6311</v>
      </c>
      <c r="J703" s="64">
        <f>13.158 * CHOOSE(CONTROL!$C$22, $C$13, 100%, $E$13)</f>
        <v>13.157999999999999</v>
      </c>
      <c r="K703" s="64">
        <f>13.1581 * CHOOSE(CONTROL!$C$22, $C$13, 100%, $E$13)</f>
        <v>13.158099999999999</v>
      </c>
    </row>
    <row r="704" spans="1:11" ht="15">
      <c r="A704" s="13">
        <v>62915</v>
      </c>
      <c r="B704" s="63">
        <f>11.4853 * CHOOSE(CONTROL!$C$22, $C$13, 100%, $E$13)</f>
        <v>11.485300000000001</v>
      </c>
      <c r="C704" s="63">
        <f>11.4853 * CHOOSE(CONTROL!$C$22, $C$13, 100%, $E$13)</f>
        <v>11.485300000000001</v>
      </c>
      <c r="D704" s="63">
        <f>11.4853 * CHOOSE(CONTROL!$C$22, $C$13, 100%, $E$13)</f>
        <v>11.485300000000001</v>
      </c>
      <c r="E704" s="64">
        <f>13.3487 * CHOOSE(CONTROL!$C$22, $C$13, 100%, $E$13)</f>
        <v>13.348699999999999</v>
      </c>
      <c r="F704" s="64">
        <f>13.3487 * CHOOSE(CONTROL!$C$22, $C$13, 100%, $E$13)</f>
        <v>13.348699999999999</v>
      </c>
      <c r="G704" s="64">
        <f>13.3488 * CHOOSE(CONTROL!$C$22, $C$13, 100%, $E$13)</f>
        <v>13.348800000000001</v>
      </c>
      <c r="H704" s="64">
        <f>22.6782* CHOOSE(CONTROL!$C$22, $C$13, 100%, $E$13)</f>
        <v>22.6782</v>
      </c>
      <c r="I704" s="64">
        <f>22.6782 * CHOOSE(CONTROL!$C$22, $C$13, 100%, $E$13)</f>
        <v>22.6782</v>
      </c>
      <c r="J704" s="64">
        <f>13.3487 * CHOOSE(CONTROL!$C$22, $C$13, 100%, $E$13)</f>
        <v>13.348699999999999</v>
      </c>
      <c r="K704" s="64">
        <f>13.3488 * CHOOSE(CONTROL!$C$22, $C$13, 100%, $E$13)</f>
        <v>13.348800000000001</v>
      </c>
    </row>
    <row r="705" spans="1:11" ht="15">
      <c r="A705" s="13">
        <v>62945</v>
      </c>
      <c r="B705" s="63">
        <f>11.4853 * CHOOSE(CONTROL!$C$22, $C$13, 100%, $E$13)</f>
        <v>11.485300000000001</v>
      </c>
      <c r="C705" s="63">
        <f>11.4853 * CHOOSE(CONTROL!$C$22, $C$13, 100%, $E$13)</f>
        <v>11.485300000000001</v>
      </c>
      <c r="D705" s="63">
        <f>11.4934 * CHOOSE(CONTROL!$C$22, $C$13, 100%, $E$13)</f>
        <v>11.493399999999999</v>
      </c>
      <c r="E705" s="64">
        <f>13.4219 * CHOOSE(CONTROL!$C$22, $C$13, 100%, $E$13)</f>
        <v>13.421900000000001</v>
      </c>
      <c r="F705" s="64">
        <f>13.4219 * CHOOSE(CONTROL!$C$22, $C$13, 100%, $E$13)</f>
        <v>13.421900000000001</v>
      </c>
      <c r="G705" s="64">
        <f>13.4317 * CHOOSE(CONTROL!$C$22, $C$13, 100%, $E$13)</f>
        <v>13.431699999999999</v>
      </c>
      <c r="H705" s="64">
        <f>22.7254* CHOOSE(CONTROL!$C$22, $C$13, 100%, $E$13)</f>
        <v>22.7254</v>
      </c>
      <c r="I705" s="64">
        <f>22.7352 * CHOOSE(CONTROL!$C$22, $C$13, 100%, $E$13)</f>
        <v>22.735199999999999</v>
      </c>
      <c r="J705" s="64">
        <f>13.4219 * CHOOSE(CONTROL!$C$22, $C$13, 100%, $E$13)</f>
        <v>13.421900000000001</v>
      </c>
      <c r="K705" s="64">
        <f>13.4317 * CHOOSE(CONTROL!$C$22, $C$13, 100%, $E$13)</f>
        <v>13.431699999999999</v>
      </c>
    </row>
    <row r="706" spans="1:11" ht="15">
      <c r="A706" s="13">
        <v>62976</v>
      </c>
      <c r="B706" s="63">
        <f>11.4914 * CHOOSE(CONTROL!$C$22, $C$13, 100%, $E$13)</f>
        <v>11.491400000000001</v>
      </c>
      <c r="C706" s="63">
        <f>11.4914 * CHOOSE(CONTROL!$C$22, $C$13, 100%, $E$13)</f>
        <v>11.491400000000001</v>
      </c>
      <c r="D706" s="63">
        <f>11.4995 * CHOOSE(CONTROL!$C$22, $C$13, 100%, $E$13)</f>
        <v>11.499499999999999</v>
      </c>
      <c r="E706" s="64">
        <f>13.353 * CHOOSE(CONTROL!$C$22, $C$13, 100%, $E$13)</f>
        <v>13.353</v>
      </c>
      <c r="F706" s="64">
        <f>13.353 * CHOOSE(CONTROL!$C$22, $C$13, 100%, $E$13)</f>
        <v>13.353</v>
      </c>
      <c r="G706" s="64">
        <f>13.3628 * CHOOSE(CONTROL!$C$22, $C$13, 100%, $E$13)</f>
        <v>13.3628</v>
      </c>
      <c r="H706" s="64">
        <f>22.7727* CHOOSE(CONTROL!$C$22, $C$13, 100%, $E$13)</f>
        <v>22.7727</v>
      </c>
      <c r="I706" s="64">
        <f>22.7826 * CHOOSE(CONTROL!$C$22, $C$13, 100%, $E$13)</f>
        <v>22.782599999999999</v>
      </c>
      <c r="J706" s="64">
        <f>13.353 * CHOOSE(CONTROL!$C$22, $C$13, 100%, $E$13)</f>
        <v>13.353</v>
      </c>
      <c r="K706" s="64">
        <f>13.3628 * CHOOSE(CONTROL!$C$22, $C$13, 100%, $E$13)</f>
        <v>13.3628</v>
      </c>
    </row>
    <row r="707" spans="1:11" ht="15">
      <c r="A707" s="13">
        <v>63006</v>
      </c>
      <c r="B707" s="63">
        <f>11.6674 * CHOOSE(CONTROL!$C$22, $C$13, 100%, $E$13)</f>
        <v>11.667400000000001</v>
      </c>
      <c r="C707" s="63">
        <f>11.6674 * CHOOSE(CONTROL!$C$22, $C$13, 100%, $E$13)</f>
        <v>11.667400000000001</v>
      </c>
      <c r="D707" s="63">
        <f>11.6756 * CHOOSE(CONTROL!$C$22, $C$13, 100%, $E$13)</f>
        <v>11.675599999999999</v>
      </c>
      <c r="E707" s="64">
        <f>13.5674 * CHOOSE(CONTROL!$C$22, $C$13, 100%, $E$13)</f>
        <v>13.567399999999999</v>
      </c>
      <c r="F707" s="64">
        <f>13.5674 * CHOOSE(CONTROL!$C$22, $C$13, 100%, $E$13)</f>
        <v>13.567399999999999</v>
      </c>
      <c r="G707" s="64">
        <f>13.5772 * CHOOSE(CONTROL!$C$22, $C$13, 100%, $E$13)</f>
        <v>13.577199999999999</v>
      </c>
      <c r="H707" s="64">
        <f>22.8202* CHOOSE(CONTROL!$C$22, $C$13, 100%, $E$13)</f>
        <v>22.8202</v>
      </c>
      <c r="I707" s="64">
        <f>22.83 * CHOOSE(CONTROL!$C$22, $C$13, 100%, $E$13)</f>
        <v>22.83</v>
      </c>
      <c r="J707" s="64">
        <f>13.5674 * CHOOSE(CONTROL!$C$22, $C$13, 100%, $E$13)</f>
        <v>13.567399999999999</v>
      </c>
      <c r="K707" s="64">
        <f>13.5772 * CHOOSE(CONTROL!$C$22, $C$13, 100%, $E$13)</f>
        <v>13.577199999999999</v>
      </c>
    </row>
    <row r="708" spans="1:11" ht="15">
      <c r="A708" s="13">
        <v>63037</v>
      </c>
      <c r="B708" s="63">
        <f>11.6741 * CHOOSE(CONTROL!$C$22, $C$13, 100%, $E$13)</f>
        <v>11.674099999999999</v>
      </c>
      <c r="C708" s="63">
        <f>11.6741 * CHOOSE(CONTROL!$C$22, $C$13, 100%, $E$13)</f>
        <v>11.674099999999999</v>
      </c>
      <c r="D708" s="63">
        <f>11.6822 * CHOOSE(CONTROL!$C$22, $C$13, 100%, $E$13)</f>
        <v>11.6822</v>
      </c>
      <c r="E708" s="64">
        <f>13.3527 * CHOOSE(CONTROL!$C$22, $C$13, 100%, $E$13)</f>
        <v>13.3527</v>
      </c>
      <c r="F708" s="64">
        <f>13.3527 * CHOOSE(CONTROL!$C$22, $C$13, 100%, $E$13)</f>
        <v>13.3527</v>
      </c>
      <c r="G708" s="64">
        <f>13.3625 * CHOOSE(CONTROL!$C$22, $C$13, 100%, $E$13)</f>
        <v>13.362500000000001</v>
      </c>
      <c r="H708" s="64">
        <f>22.8677* CHOOSE(CONTROL!$C$22, $C$13, 100%, $E$13)</f>
        <v>22.867699999999999</v>
      </c>
      <c r="I708" s="64">
        <f>22.8776 * CHOOSE(CONTROL!$C$22, $C$13, 100%, $E$13)</f>
        <v>22.877600000000001</v>
      </c>
      <c r="J708" s="64">
        <f>13.3527 * CHOOSE(CONTROL!$C$22, $C$13, 100%, $E$13)</f>
        <v>13.3527</v>
      </c>
      <c r="K708" s="64">
        <f>13.3625 * CHOOSE(CONTROL!$C$22, $C$13, 100%, $E$13)</f>
        <v>13.362500000000001</v>
      </c>
    </row>
    <row r="709" spans="1:11" ht="15">
      <c r="A709" s="13">
        <v>63068</v>
      </c>
      <c r="B709" s="63">
        <f>11.6711 * CHOOSE(CONTROL!$C$22, $C$13, 100%, $E$13)</f>
        <v>11.671099999999999</v>
      </c>
      <c r="C709" s="63">
        <f>11.6711 * CHOOSE(CONTROL!$C$22, $C$13, 100%, $E$13)</f>
        <v>11.671099999999999</v>
      </c>
      <c r="D709" s="63">
        <f>11.6792 * CHOOSE(CONTROL!$C$22, $C$13, 100%, $E$13)</f>
        <v>11.6792</v>
      </c>
      <c r="E709" s="64">
        <f>13.3262 * CHOOSE(CONTROL!$C$22, $C$13, 100%, $E$13)</f>
        <v>13.3262</v>
      </c>
      <c r="F709" s="64">
        <f>13.3262 * CHOOSE(CONTROL!$C$22, $C$13, 100%, $E$13)</f>
        <v>13.3262</v>
      </c>
      <c r="G709" s="64">
        <f>13.3361 * CHOOSE(CONTROL!$C$22, $C$13, 100%, $E$13)</f>
        <v>13.3361</v>
      </c>
      <c r="H709" s="64">
        <f>22.9154* CHOOSE(CONTROL!$C$22, $C$13, 100%, $E$13)</f>
        <v>22.915400000000002</v>
      </c>
      <c r="I709" s="64">
        <f>22.9252 * CHOOSE(CONTROL!$C$22, $C$13, 100%, $E$13)</f>
        <v>22.9252</v>
      </c>
      <c r="J709" s="64">
        <f>13.3262 * CHOOSE(CONTROL!$C$22, $C$13, 100%, $E$13)</f>
        <v>13.3262</v>
      </c>
      <c r="K709" s="64">
        <f>13.3361 * CHOOSE(CONTROL!$C$22, $C$13, 100%, $E$13)</f>
        <v>13.3361</v>
      </c>
    </row>
    <row r="710" spans="1:11" ht="15">
      <c r="A710" s="13">
        <v>63098</v>
      </c>
      <c r="B710" s="63">
        <f>11.691 * CHOOSE(CONTROL!$C$22, $C$13, 100%, $E$13)</f>
        <v>11.691000000000001</v>
      </c>
      <c r="C710" s="63">
        <f>11.691 * CHOOSE(CONTROL!$C$22, $C$13, 100%, $E$13)</f>
        <v>11.691000000000001</v>
      </c>
      <c r="D710" s="63">
        <f>11.691 * CHOOSE(CONTROL!$C$22, $C$13, 100%, $E$13)</f>
        <v>11.691000000000001</v>
      </c>
      <c r="E710" s="64">
        <f>13.4103 * CHOOSE(CONTROL!$C$22, $C$13, 100%, $E$13)</f>
        <v>13.410299999999999</v>
      </c>
      <c r="F710" s="64">
        <f>13.4103 * CHOOSE(CONTROL!$C$22, $C$13, 100%, $E$13)</f>
        <v>13.410299999999999</v>
      </c>
      <c r="G710" s="64">
        <f>13.4104 * CHOOSE(CONTROL!$C$22, $C$13, 100%, $E$13)</f>
        <v>13.410399999999999</v>
      </c>
      <c r="H710" s="64">
        <f>22.9631* CHOOSE(CONTROL!$C$22, $C$13, 100%, $E$13)</f>
        <v>22.963100000000001</v>
      </c>
      <c r="I710" s="64">
        <f>22.9632 * CHOOSE(CONTROL!$C$22, $C$13, 100%, $E$13)</f>
        <v>22.963200000000001</v>
      </c>
      <c r="J710" s="64">
        <f>13.4103 * CHOOSE(CONTROL!$C$22, $C$13, 100%, $E$13)</f>
        <v>13.410299999999999</v>
      </c>
      <c r="K710" s="64">
        <f>13.4104 * CHOOSE(CONTROL!$C$22, $C$13, 100%, $E$13)</f>
        <v>13.410399999999999</v>
      </c>
    </row>
    <row r="711" spans="1:11" ht="15">
      <c r="A711" s="13">
        <v>63129</v>
      </c>
      <c r="B711" s="63">
        <f>11.694 * CHOOSE(CONTROL!$C$22, $C$13, 100%, $E$13)</f>
        <v>11.694000000000001</v>
      </c>
      <c r="C711" s="63">
        <f>11.694 * CHOOSE(CONTROL!$C$22, $C$13, 100%, $E$13)</f>
        <v>11.694000000000001</v>
      </c>
      <c r="D711" s="63">
        <f>11.694 * CHOOSE(CONTROL!$C$22, $C$13, 100%, $E$13)</f>
        <v>11.694000000000001</v>
      </c>
      <c r="E711" s="64">
        <f>13.4611 * CHOOSE(CONTROL!$C$22, $C$13, 100%, $E$13)</f>
        <v>13.4611</v>
      </c>
      <c r="F711" s="64">
        <f>13.4611 * CHOOSE(CONTROL!$C$22, $C$13, 100%, $E$13)</f>
        <v>13.4611</v>
      </c>
      <c r="G711" s="64">
        <f>13.4612 * CHOOSE(CONTROL!$C$22, $C$13, 100%, $E$13)</f>
        <v>13.4612</v>
      </c>
      <c r="H711" s="64">
        <f>23.0109* CHOOSE(CONTROL!$C$22, $C$13, 100%, $E$13)</f>
        <v>23.010899999999999</v>
      </c>
      <c r="I711" s="64">
        <f>23.011 * CHOOSE(CONTROL!$C$22, $C$13, 100%, $E$13)</f>
        <v>23.010999999999999</v>
      </c>
      <c r="J711" s="64">
        <f>13.4611 * CHOOSE(CONTROL!$C$22, $C$13, 100%, $E$13)</f>
        <v>13.4611</v>
      </c>
      <c r="K711" s="64">
        <f>13.4612 * CHOOSE(CONTROL!$C$22, $C$13, 100%, $E$13)</f>
        <v>13.4612</v>
      </c>
    </row>
    <row r="712" spans="1:11" ht="15">
      <c r="A712" s="13">
        <v>63159</v>
      </c>
      <c r="B712" s="63">
        <f>11.694 * CHOOSE(CONTROL!$C$22, $C$13, 100%, $E$13)</f>
        <v>11.694000000000001</v>
      </c>
      <c r="C712" s="63">
        <f>11.694 * CHOOSE(CONTROL!$C$22, $C$13, 100%, $E$13)</f>
        <v>11.694000000000001</v>
      </c>
      <c r="D712" s="63">
        <f>11.694 * CHOOSE(CONTROL!$C$22, $C$13, 100%, $E$13)</f>
        <v>11.694000000000001</v>
      </c>
      <c r="E712" s="64">
        <f>13.3393 * CHOOSE(CONTROL!$C$22, $C$13, 100%, $E$13)</f>
        <v>13.3393</v>
      </c>
      <c r="F712" s="64">
        <f>13.3393 * CHOOSE(CONTROL!$C$22, $C$13, 100%, $E$13)</f>
        <v>13.3393</v>
      </c>
      <c r="G712" s="64">
        <f>13.3394 * CHOOSE(CONTROL!$C$22, $C$13, 100%, $E$13)</f>
        <v>13.339399999999999</v>
      </c>
      <c r="H712" s="64">
        <f>23.0589* CHOOSE(CONTROL!$C$22, $C$13, 100%, $E$13)</f>
        <v>23.058900000000001</v>
      </c>
      <c r="I712" s="64">
        <f>23.059 * CHOOSE(CONTROL!$C$22, $C$13, 100%, $E$13)</f>
        <v>23.059000000000001</v>
      </c>
      <c r="J712" s="64">
        <f>13.3393 * CHOOSE(CONTROL!$C$22, $C$13, 100%, $E$13)</f>
        <v>13.3393</v>
      </c>
      <c r="K712" s="64">
        <f>13.3394 * CHOOSE(CONTROL!$C$22, $C$13, 100%, $E$13)</f>
        <v>13.339399999999999</v>
      </c>
    </row>
    <row r="713" spans="1:11" ht="15">
      <c r="A713" s="13">
        <v>63190</v>
      </c>
      <c r="B713" s="63">
        <f>11.723 * CHOOSE(CONTROL!$C$22, $C$13, 100%, $E$13)</f>
        <v>11.723000000000001</v>
      </c>
      <c r="C713" s="63">
        <f>11.723 * CHOOSE(CONTROL!$C$22, $C$13, 100%, $E$13)</f>
        <v>11.723000000000001</v>
      </c>
      <c r="D713" s="63">
        <f>11.723 * CHOOSE(CONTROL!$C$22, $C$13, 100%, $E$13)</f>
        <v>11.723000000000001</v>
      </c>
      <c r="E713" s="64">
        <f>13.4657 * CHOOSE(CONTROL!$C$22, $C$13, 100%, $E$13)</f>
        <v>13.4657</v>
      </c>
      <c r="F713" s="64">
        <f>13.4657 * CHOOSE(CONTROL!$C$22, $C$13, 100%, $E$13)</f>
        <v>13.4657</v>
      </c>
      <c r="G713" s="64">
        <f>13.4658 * CHOOSE(CONTROL!$C$22, $C$13, 100%, $E$13)</f>
        <v>13.4658</v>
      </c>
      <c r="H713" s="64">
        <f>22.9829* CHOOSE(CONTROL!$C$22, $C$13, 100%, $E$13)</f>
        <v>22.982900000000001</v>
      </c>
      <c r="I713" s="64">
        <f>22.983 * CHOOSE(CONTROL!$C$22, $C$13, 100%, $E$13)</f>
        <v>22.983000000000001</v>
      </c>
      <c r="J713" s="64">
        <f>13.4657 * CHOOSE(CONTROL!$C$22, $C$13, 100%, $E$13)</f>
        <v>13.4657</v>
      </c>
      <c r="K713" s="64">
        <f>13.4658 * CHOOSE(CONTROL!$C$22, $C$13, 100%, $E$13)</f>
        <v>13.4658</v>
      </c>
    </row>
    <row r="714" spans="1:11" ht="15">
      <c r="A714" s="13">
        <v>63221</v>
      </c>
      <c r="B714" s="63">
        <f>11.72 * CHOOSE(CONTROL!$C$22, $C$13, 100%, $E$13)</f>
        <v>11.72</v>
      </c>
      <c r="C714" s="63">
        <f>11.72 * CHOOSE(CONTROL!$C$22, $C$13, 100%, $E$13)</f>
        <v>11.72</v>
      </c>
      <c r="D714" s="63">
        <f>11.72 * CHOOSE(CONTROL!$C$22, $C$13, 100%, $E$13)</f>
        <v>11.72</v>
      </c>
      <c r="E714" s="64">
        <f>13.2284 * CHOOSE(CONTROL!$C$22, $C$13, 100%, $E$13)</f>
        <v>13.228400000000001</v>
      </c>
      <c r="F714" s="64">
        <f>13.2284 * CHOOSE(CONTROL!$C$22, $C$13, 100%, $E$13)</f>
        <v>13.228400000000001</v>
      </c>
      <c r="G714" s="64">
        <f>13.2285 * CHOOSE(CONTROL!$C$22, $C$13, 100%, $E$13)</f>
        <v>13.2285</v>
      </c>
      <c r="H714" s="64">
        <f>23.0308* CHOOSE(CONTROL!$C$22, $C$13, 100%, $E$13)</f>
        <v>23.030799999999999</v>
      </c>
      <c r="I714" s="64">
        <f>23.0309 * CHOOSE(CONTROL!$C$22, $C$13, 100%, $E$13)</f>
        <v>23.030899999999999</v>
      </c>
      <c r="J714" s="64">
        <f>13.2284 * CHOOSE(CONTROL!$C$22, $C$13, 100%, $E$13)</f>
        <v>13.228400000000001</v>
      </c>
      <c r="K714" s="64">
        <f>13.2285 * CHOOSE(CONTROL!$C$22, $C$13, 100%, $E$13)</f>
        <v>13.2285</v>
      </c>
    </row>
    <row r="715" spans="1:11" ht="15">
      <c r="A715" s="13">
        <v>63249</v>
      </c>
      <c r="B715" s="63">
        <f>11.717 * CHOOSE(CONTROL!$C$22, $C$13, 100%, $E$13)</f>
        <v>11.717000000000001</v>
      </c>
      <c r="C715" s="63">
        <f>11.717 * CHOOSE(CONTROL!$C$22, $C$13, 100%, $E$13)</f>
        <v>11.717000000000001</v>
      </c>
      <c r="D715" s="63">
        <f>11.717 * CHOOSE(CONTROL!$C$22, $C$13, 100%, $E$13)</f>
        <v>11.717000000000001</v>
      </c>
      <c r="E715" s="64">
        <f>13.4117 * CHOOSE(CONTROL!$C$22, $C$13, 100%, $E$13)</f>
        <v>13.4117</v>
      </c>
      <c r="F715" s="64">
        <f>13.4117 * CHOOSE(CONTROL!$C$22, $C$13, 100%, $E$13)</f>
        <v>13.4117</v>
      </c>
      <c r="G715" s="64">
        <f>13.4118 * CHOOSE(CONTROL!$C$22, $C$13, 100%, $E$13)</f>
        <v>13.411799999999999</v>
      </c>
      <c r="H715" s="64">
        <f>23.0788* CHOOSE(CONTROL!$C$22, $C$13, 100%, $E$13)</f>
        <v>23.078800000000001</v>
      </c>
      <c r="I715" s="64">
        <f>23.0788 * CHOOSE(CONTROL!$C$22, $C$13, 100%, $E$13)</f>
        <v>23.078800000000001</v>
      </c>
      <c r="J715" s="64">
        <f>13.4117 * CHOOSE(CONTROL!$C$22, $C$13, 100%, $E$13)</f>
        <v>13.4117</v>
      </c>
      <c r="K715" s="64">
        <f>13.4118 * CHOOSE(CONTROL!$C$22, $C$13, 100%, $E$13)</f>
        <v>13.411799999999999</v>
      </c>
    </row>
    <row r="716" spans="1:11" ht="15">
      <c r="A716" s="13">
        <v>63280</v>
      </c>
      <c r="B716" s="63">
        <f>11.7211 * CHOOSE(CONTROL!$C$22, $C$13, 100%, $E$13)</f>
        <v>11.7211</v>
      </c>
      <c r="C716" s="63">
        <f>11.7211 * CHOOSE(CONTROL!$C$22, $C$13, 100%, $E$13)</f>
        <v>11.7211</v>
      </c>
      <c r="D716" s="63">
        <f>11.7211 * CHOOSE(CONTROL!$C$22, $C$13, 100%, $E$13)</f>
        <v>11.7211</v>
      </c>
      <c r="E716" s="64">
        <f>13.6066 * CHOOSE(CONTROL!$C$22, $C$13, 100%, $E$13)</f>
        <v>13.6066</v>
      </c>
      <c r="F716" s="64">
        <f>13.6066 * CHOOSE(CONTROL!$C$22, $C$13, 100%, $E$13)</f>
        <v>13.6066</v>
      </c>
      <c r="G716" s="64">
        <f>13.6067 * CHOOSE(CONTROL!$C$22, $C$13, 100%, $E$13)</f>
        <v>13.6067</v>
      </c>
      <c r="H716" s="64">
        <f>23.1268* CHOOSE(CONTROL!$C$22, $C$13, 100%, $E$13)</f>
        <v>23.126799999999999</v>
      </c>
      <c r="I716" s="64">
        <f>23.1269 * CHOOSE(CONTROL!$C$22, $C$13, 100%, $E$13)</f>
        <v>23.126899999999999</v>
      </c>
      <c r="J716" s="64">
        <f>13.6066 * CHOOSE(CONTROL!$C$22, $C$13, 100%, $E$13)</f>
        <v>13.6066</v>
      </c>
      <c r="K716" s="64">
        <f>13.6067 * CHOOSE(CONTROL!$C$22, $C$13, 100%, $E$13)</f>
        <v>13.6067</v>
      </c>
    </row>
    <row r="717" spans="1:11" ht="15">
      <c r="A717" s="13">
        <v>63310</v>
      </c>
      <c r="B717" s="63">
        <f>11.7211 * CHOOSE(CONTROL!$C$22, $C$13, 100%, $E$13)</f>
        <v>11.7211</v>
      </c>
      <c r="C717" s="63">
        <f>11.7211 * CHOOSE(CONTROL!$C$22, $C$13, 100%, $E$13)</f>
        <v>11.7211</v>
      </c>
      <c r="D717" s="63">
        <f>11.7292 * CHOOSE(CONTROL!$C$22, $C$13, 100%, $E$13)</f>
        <v>11.729200000000001</v>
      </c>
      <c r="E717" s="64">
        <f>13.6813 * CHOOSE(CONTROL!$C$22, $C$13, 100%, $E$13)</f>
        <v>13.6813</v>
      </c>
      <c r="F717" s="64">
        <f>13.6813 * CHOOSE(CONTROL!$C$22, $C$13, 100%, $E$13)</f>
        <v>13.6813</v>
      </c>
      <c r="G717" s="64">
        <f>13.6911 * CHOOSE(CONTROL!$C$22, $C$13, 100%, $E$13)</f>
        <v>13.6911</v>
      </c>
      <c r="H717" s="64">
        <f>23.175* CHOOSE(CONTROL!$C$22, $C$13, 100%, $E$13)</f>
        <v>23.175000000000001</v>
      </c>
      <c r="I717" s="64">
        <f>23.1848 * CHOOSE(CONTROL!$C$22, $C$13, 100%, $E$13)</f>
        <v>23.184799999999999</v>
      </c>
      <c r="J717" s="64">
        <f>13.6813 * CHOOSE(CONTROL!$C$22, $C$13, 100%, $E$13)</f>
        <v>13.6813</v>
      </c>
      <c r="K717" s="64">
        <f>13.6911 * CHOOSE(CONTROL!$C$22, $C$13, 100%, $E$13)</f>
        <v>13.6911</v>
      </c>
    </row>
    <row r="718" spans="1:11" ht="15">
      <c r="A718" s="13">
        <v>63341</v>
      </c>
      <c r="B718" s="63">
        <f>11.7272 * CHOOSE(CONTROL!$C$22, $C$13, 100%, $E$13)</f>
        <v>11.7272</v>
      </c>
      <c r="C718" s="63">
        <f>11.7272 * CHOOSE(CONTROL!$C$22, $C$13, 100%, $E$13)</f>
        <v>11.7272</v>
      </c>
      <c r="D718" s="63">
        <f>11.7353 * CHOOSE(CONTROL!$C$22, $C$13, 100%, $E$13)</f>
        <v>11.735300000000001</v>
      </c>
      <c r="E718" s="64">
        <f>13.6108 * CHOOSE(CONTROL!$C$22, $C$13, 100%, $E$13)</f>
        <v>13.610799999999999</v>
      </c>
      <c r="F718" s="64">
        <f>13.6108 * CHOOSE(CONTROL!$C$22, $C$13, 100%, $E$13)</f>
        <v>13.610799999999999</v>
      </c>
      <c r="G718" s="64">
        <f>13.6207 * CHOOSE(CONTROL!$C$22, $C$13, 100%, $E$13)</f>
        <v>13.620699999999999</v>
      </c>
      <c r="H718" s="64">
        <f>23.2233* CHOOSE(CONTROL!$C$22, $C$13, 100%, $E$13)</f>
        <v>23.223299999999998</v>
      </c>
      <c r="I718" s="64">
        <f>23.2331 * CHOOSE(CONTROL!$C$22, $C$13, 100%, $E$13)</f>
        <v>23.2331</v>
      </c>
      <c r="J718" s="64">
        <f>13.6108 * CHOOSE(CONTROL!$C$22, $C$13, 100%, $E$13)</f>
        <v>13.610799999999999</v>
      </c>
      <c r="K718" s="64">
        <f>13.6207 * CHOOSE(CONTROL!$C$22, $C$13, 100%, $E$13)</f>
        <v>13.620699999999999</v>
      </c>
    </row>
    <row r="719" spans="1:11" ht="15">
      <c r="A719" s="13">
        <v>63371</v>
      </c>
      <c r="B719" s="63">
        <f>11.9066 * CHOOSE(CONTROL!$C$22, $C$13, 100%, $E$13)</f>
        <v>11.906599999999999</v>
      </c>
      <c r="C719" s="63">
        <f>11.9066 * CHOOSE(CONTROL!$C$22, $C$13, 100%, $E$13)</f>
        <v>11.906599999999999</v>
      </c>
      <c r="D719" s="63">
        <f>11.9147 * CHOOSE(CONTROL!$C$22, $C$13, 100%, $E$13)</f>
        <v>11.9147</v>
      </c>
      <c r="E719" s="64">
        <f>13.8292 * CHOOSE(CONTROL!$C$22, $C$13, 100%, $E$13)</f>
        <v>13.8292</v>
      </c>
      <c r="F719" s="64">
        <f>13.8292 * CHOOSE(CONTROL!$C$22, $C$13, 100%, $E$13)</f>
        <v>13.8292</v>
      </c>
      <c r="G719" s="64">
        <f>13.839 * CHOOSE(CONTROL!$C$22, $C$13, 100%, $E$13)</f>
        <v>13.839</v>
      </c>
      <c r="H719" s="64">
        <f>23.2717* CHOOSE(CONTROL!$C$22, $C$13, 100%, $E$13)</f>
        <v>23.271699999999999</v>
      </c>
      <c r="I719" s="64">
        <f>23.2815 * CHOOSE(CONTROL!$C$22, $C$13, 100%, $E$13)</f>
        <v>23.281500000000001</v>
      </c>
      <c r="J719" s="64">
        <f>13.8292 * CHOOSE(CONTROL!$C$22, $C$13, 100%, $E$13)</f>
        <v>13.8292</v>
      </c>
      <c r="K719" s="64">
        <f>13.839 * CHOOSE(CONTROL!$C$22, $C$13, 100%, $E$13)</f>
        <v>13.839</v>
      </c>
    </row>
    <row r="720" spans="1:11" ht="15">
      <c r="A720" s="13">
        <v>63402</v>
      </c>
      <c r="B720" s="63">
        <f>11.9133 * CHOOSE(CONTROL!$C$22, $C$13, 100%, $E$13)</f>
        <v>11.9133</v>
      </c>
      <c r="C720" s="63">
        <f>11.9133 * CHOOSE(CONTROL!$C$22, $C$13, 100%, $E$13)</f>
        <v>11.9133</v>
      </c>
      <c r="D720" s="63">
        <f>11.9214 * CHOOSE(CONTROL!$C$22, $C$13, 100%, $E$13)</f>
        <v>11.9214</v>
      </c>
      <c r="E720" s="64">
        <f>13.6098 * CHOOSE(CONTROL!$C$22, $C$13, 100%, $E$13)</f>
        <v>13.6098</v>
      </c>
      <c r="F720" s="64">
        <f>13.6098 * CHOOSE(CONTROL!$C$22, $C$13, 100%, $E$13)</f>
        <v>13.6098</v>
      </c>
      <c r="G720" s="64">
        <f>13.6196 * CHOOSE(CONTROL!$C$22, $C$13, 100%, $E$13)</f>
        <v>13.6196</v>
      </c>
      <c r="H720" s="64">
        <f>23.3202* CHOOSE(CONTROL!$C$22, $C$13, 100%, $E$13)</f>
        <v>23.3202</v>
      </c>
      <c r="I720" s="64">
        <f>23.33 * CHOOSE(CONTROL!$C$22, $C$13, 100%, $E$13)</f>
        <v>23.33</v>
      </c>
      <c r="J720" s="64">
        <f>13.6098 * CHOOSE(CONTROL!$C$22, $C$13, 100%, $E$13)</f>
        <v>13.6098</v>
      </c>
      <c r="K720" s="64">
        <f>13.6196 * CHOOSE(CONTROL!$C$22, $C$13, 100%, $E$13)</f>
        <v>13.6196</v>
      </c>
    </row>
    <row r="721" spans="1:11" ht="15">
      <c r="A721" s="13">
        <v>63433</v>
      </c>
      <c r="B721" s="63">
        <f>11.9103 * CHOOSE(CONTROL!$C$22, $C$13, 100%, $E$13)</f>
        <v>11.910299999999999</v>
      </c>
      <c r="C721" s="63">
        <f>11.9103 * CHOOSE(CONTROL!$C$22, $C$13, 100%, $E$13)</f>
        <v>11.910299999999999</v>
      </c>
      <c r="D721" s="63">
        <f>11.9184 * CHOOSE(CONTROL!$C$22, $C$13, 100%, $E$13)</f>
        <v>11.9184</v>
      </c>
      <c r="E721" s="64">
        <f>13.5828 * CHOOSE(CONTROL!$C$22, $C$13, 100%, $E$13)</f>
        <v>13.582800000000001</v>
      </c>
      <c r="F721" s="64">
        <f>13.5828 * CHOOSE(CONTROL!$C$22, $C$13, 100%, $E$13)</f>
        <v>13.582800000000001</v>
      </c>
      <c r="G721" s="64">
        <f>13.5926 * CHOOSE(CONTROL!$C$22, $C$13, 100%, $E$13)</f>
        <v>13.592599999999999</v>
      </c>
      <c r="H721" s="64">
        <f>23.3687* CHOOSE(CONTROL!$C$22, $C$13, 100%, $E$13)</f>
        <v>23.3687</v>
      </c>
      <c r="I721" s="64">
        <f>23.3786 * CHOOSE(CONTROL!$C$22, $C$13, 100%, $E$13)</f>
        <v>23.378599999999999</v>
      </c>
      <c r="J721" s="64">
        <f>13.5828 * CHOOSE(CONTROL!$C$22, $C$13, 100%, $E$13)</f>
        <v>13.582800000000001</v>
      </c>
      <c r="K721" s="64">
        <f>13.5926 * CHOOSE(CONTROL!$C$22, $C$13, 100%, $E$13)</f>
        <v>13.592599999999999</v>
      </c>
    </row>
    <row r="722" spans="1:11" ht="15">
      <c r="A722" s="13">
        <v>63463</v>
      </c>
      <c r="B722" s="63">
        <f>11.9309 * CHOOSE(CONTROL!$C$22, $C$13, 100%, $E$13)</f>
        <v>11.930899999999999</v>
      </c>
      <c r="C722" s="63">
        <f>11.9309 * CHOOSE(CONTROL!$C$22, $C$13, 100%, $E$13)</f>
        <v>11.930899999999999</v>
      </c>
      <c r="D722" s="63">
        <f>11.9309 * CHOOSE(CONTROL!$C$22, $C$13, 100%, $E$13)</f>
        <v>11.930899999999999</v>
      </c>
      <c r="E722" s="64">
        <f>13.6689 * CHOOSE(CONTROL!$C$22, $C$13, 100%, $E$13)</f>
        <v>13.668900000000001</v>
      </c>
      <c r="F722" s="64">
        <f>13.6689 * CHOOSE(CONTROL!$C$22, $C$13, 100%, $E$13)</f>
        <v>13.668900000000001</v>
      </c>
      <c r="G722" s="64">
        <f>13.669 * CHOOSE(CONTROL!$C$22, $C$13, 100%, $E$13)</f>
        <v>13.669</v>
      </c>
      <c r="H722" s="64">
        <f>23.4174* CHOOSE(CONTROL!$C$22, $C$13, 100%, $E$13)</f>
        <v>23.417400000000001</v>
      </c>
      <c r="I722" s="64">
        <f>23.4175 * CHOOSE(CONTROL!$C$22, $C$13, 100%, $E$13)</f>
        <v>23.4175</v>
      </c>
      <c r="J722" s="64">
        <f>13.6689 * CHOOSE(CONTROL!$C$22, $C$13, 100%, $E$13)</f>
        <v>13.668900000000001</v>
      </c>
      <c r="K722" s="64">
        <f>13.669 * CHOOSE(CONTROL!$C$22, $C$13, 100%, $E$13)</f>
        <v>13.669</v>
      </c>
    </row>
    <row r="723" spans="1:11" ht="15">
      <c r="A723" s="13">
        <v>63494</v>
      </c>
      <c r="B723" s="63">
        <f>11.9339 * CHOOSE(CONTROL!$C$22, $C$13, 100%, $E$13)</f>
        <v>11.9339</v>
      </c>
      <c r="C723" s="63">
        <f>11.9339 * CHOOSE(CONTROL!$C$22, $C$13, 100%, $E$13)</f>
        <v>11.9339</v>
      </c>
      <c r="D723" s="63">
        <f>11.9339 * CHOOSE(CONTROL!$C$22, $C$13, 100%, $E$13)</f>
        <v>11.9339</v>
      </c>
      <c r="E723" s="64">
        <f>13.7208 * CHOOSE(CONTROL!$C$22, $C$13, 100%, $E$13)</f>
        <v>13.720800000000001</v>
      </c>
      <c r="F723" s="64">
        <f>13.7208 * CHOOSE(CONTROL!$C$22, $C$13, 100%, $E$13)</f>
        <v>13.720800000000001</v>
      </c>
      <c r="G723" s="64">
        <f>13.7209 * CHOOSE(CONTROL!$C$22, $C$13, 100%, $E$13)</f>
        <v>13.7209</v>
      </c>
      <c r="H723" s="64">
        <f>23.4662* CHOOSE(CONTROL!$C$22, $C$13, 100%, $E$13)</f>
        <v>23.466200000000001</v>
      </c>
      <c r="I723" s="64">
        <f>23.4663 * CHOOSE(CONTROL!$C$22, $C$13, 100%, $E$13)</f>
        <v>23.4663</v>
      </c>
      <c r="J723" s="64">
        <f>13.7208 * CHOOSE(CONTROL!$C$22, $C$13, 100%, $E$13)</f>
        <v>13.720800000000001</v>
      </c>
      <c r="K723" s="64">
        <f>13.7209 * CHOOSE(CONTROL!$C$22, $C$13, 100%, $E$13)</f>
        <v>13.7209</v>
      </c>
    </row>
    <row r="724" spans="1:11" ht="15">
      <c r="A724" s="13">
        <v>63524</v>
      </c>
      <c r="B724" s="63">
        <f>11.9339 * CHOOSE(CONTROL!$C$22, $C$13, 100%, $E$13)</f>
        <v>11.9339</v>
      </c>
      <c r="C724" s="63">
        <f>11.9339 * CHOOSE(CONTROL!$C$22, $C$13, 100%, $E$13)</f>
        <v>11.9339</v>
      </c>
      <c r="D724" s="63">
        <f>11.9339 * CHOOSE(CONTROL!$C$22, $C$13, 100%, $E$13)</f>
        <v>11.9339</v>
      </c>
      <c r="E724" s="64">
        <f>13.5964 * CHOOSE(CONTROL!$C$22, $C$13, 100%, $E$13)</f>
        <v>13.596399999999999</v>
      </c>
      <c r="F724" s="64">
        <f>13.5964 * CHOOSE(CONTROL!$C$22, $C$13, 100%, $E$13)</f>
        <v>13.596399999999999</v>
      </c>
      <c r="G724" s="64">
        <f>13.5964 * CHOOSE(CONTROL!$C$22, $C$13, 100%, $E$13)</f>
        <v>13.596399999999999</v>
      </c>
      <c r="H724" s="64">
        <f>23.5151* CHOOSE(CONTROL!$C$22, $C$13, 100%, $E$13)</f>
        <v>23.5151</v>
      </c>
      <c r="I724" s="64">
        <f>23.5152 * CHOOSE(CONTROL!$C$22, $C$13, 100%, $E$13)</f>
        <v>23.5152</v>
      </c>
      <c r="J724" s="64">
        <f>13.5964 * CHOOSE(CONTROL!$C$22, $C$13, 100%, $E$13)</f>
        <v>13.596399999999999</v>
      </c>
      <c r="K724" s="64">
        <f>13.5964 * CHOOSE(CONTROL!$C$22, $C$13, 100%, $E$13)</f>
        <v>13.596399999999999</v>
      </c>
    </row>
    <row r="725" spans="1:11" ht="15">
      <c r="A725" s="13">
        <v>63555</v>
      </c>
      <c r="B725" s="63">
        <f>11.9586 * CHOOSE(CONTROL!$C$22, $C$13, 100%, $E$13)</f>
        <v>11.958600000000001</v>
      </c>
      <c r="C725" s="63">
        <f>11.9586 * CHOOSE(CONTROL!$C$22, $C$13, 100%, $E$13)</f>
        <v>11.958600000000001</v>
      </c>
      <c r="D725" s="63">
        <f>11.9586 * CHOOSE(CONTROL!$C$22, $C$13, 100%, $E$13)</f>
        <v>11.958600000000001</v>
      </c>
      <c r="E725" s="64">
        <f>13.7204 * CHOOSE(CONTROL!$C$22, $C$13, 100%, $E$13)</f>
        <v>13.7204</v>
      </c>
      <c r="F725" s="64">
        <f>13.7204 * CHOOSE(CONTROL!$C$22, $C$13, 100%, $E$13)</f>
        <v>13.7204</v>
      </c>
      <c r="G725" s="64">
        <f>13.7205 * CHOOSE(CONTROL!$C$22, $C$13, 100%, $E$13)</f>
        <v>13.720499999999999</v>
      </c>
      <c r="H725" s="64">
        <f>23.4288* CHOOSE(CONTROL!$C$22, $C$13, 100%, $E$13)</f>
        <v>23.428799999999999</v>
      </c>
      <c r="I725" s="64">
        <f>23.4289 * CHOOSE(CONTROL!$C$22, $C$13, 100%, $E$13)</f>
        <v>23.428899999999999</v>
      </c>
      <c r="J725" s="64">
        <f>13.7204 * CHOOSE(CONTROL!$C$22, $C$13, 100%, $E$13)</f>
        <v>13.7204</v>
      </c>
      <c r="K725" s="64">
        <f>13.7205 * CHOOSE(CONTROL!$C$22, $C$13, 100%, $E$13)</f>
        <v>13.720499999999999</v>
      </c>
    </row>
    <row r="726" spans="1:11" ht="15">
      <c r="A726" s="13">
        <v>63586</v>
      </c>
      <c r="B726" s="63">
        <f>11.9556 * CHOOSE(CONTROL!$C$22, $C$13, 100%, $E$13)</f>
        <v>11.9556</v>
      </c>
      <c r="C726" s="63">
        <f>11.9556 * CHOOSE(CONTROL!$C$22, $C$13, 100%, $E$13)</f>
        <v>11.9556</v>
      </c>
      <c r="D726" s="63">
        <f>11.9556 * CHOOSE(CONTROL!$C$22, $C$13, 100%, $E$13)</f>
        <v>11.9556</v>
      </c>
      <c r="E726" s="64">
        <f>13.4782 * CHOOSE(CONTROL!$C$22, $C$13, 100%, $E$13)</f>
        <v>13.478199999999999</v>
      </c>
      <c r="F726" s="64">
        <f>13.4782 * CHOOSE(CONTROL!$C$22, $C$13, 100%, $E$13)</f>
        <v>13.478199999999999</v>
      </c>
      <c r="G726" s="64">
        <f>13.4782 * CHOOSE(CONTROL!$C$22, $C$13, 100%, $E$13)</f>
        <v>13.478199999999999</v>
      </c>
      <c r="H726" s="64">
        <f>23.4776* CHOOSE(CONTROL!$C$22, $C$13, 100%, $E$13)</f>
        <v>23.477599999999999</v>
      </c>
      <c r="I726" s="64">
        <f>23.4777 * CHOOSE(CONTROL!$C$22, $C$13, 100%, $E$13)</f>
        <v>23.477699999999999</v>
      </c>
      <c r="J726" s="64">
        <f>13.4782 * CHOOSE(CONTROL!$C$22, $C$13, 100%, $E$13)</f>
        <v>13.478199999999999</v>
      </c>
      <c r="K726" s="64">
        <f>13.4782 * CHOOSE(CONTROL!$C$22, $C$13, 100%, $E$13)</f>
        <v>13.478199999999999</v>
      </c>
    </row>
    <row r="727" spans="1:11" ht="15">
      <c r="A727" s="13">
        <v>63614</v>
      </c>
      <c r="B727" s="63">
        <f>11.9525 * CHOOSE(CONTROL!$C$22, $C$13, 100%, $E$13)</f>
        <v>11.952500000000001</v>
      </c>
      <c r="C727" s="63">
        <f>11.9525 * CHOOSE(CONTROL!$C$22, $C$13, 100%, $E$13)</f>
        <v>11.952500000000001</v>
      </c>
      <c r="D727" s="63">
        <f>11.9525 * CHOOSE(CONTROL!$C$22, $C$13, 100%, $E$13)</f>
        <v>11.952500000000001</v>
      </c>
      <c r="E727" s="64">
        <f>13.6654 * CHOOSE(CONTROL!$C$22, $C$13, 100%, $E$13)</f>
        <v>13.6654</v>
      </c>
      <c r="F727" s="64">
        <f>13.6654 * CHOOSE(CONTROL!$C$22, $C$13, 100%, $E$13)</f>
        <v>13.6654</v>
      </c>
      <c r="G727" s="64">
        <f>13.6655 * CHOOSE(CONTROL!$C$22, $C$13, 100%, $E$13)</f>
        <v>13.6655</v>
      </c>
      <c r="H727" s="64">
        <f>23.5265* CHOOSE(CONTROL!$C$22, $C$13, 100%, $E$13)</f>
        <v>23.526499999999999</v>
      </c>
      <c r="I727" s="64">
        <f>23.5266 * CHOOSE(CONTROL!$C$22, $C$13, 100%, $E$13)</f>
        <v>23.526599999999998</v>
      </c>
      <c r="J727" s="64">
        <f>13.6654 * CHOOSE(CONTROL!$C$22, $C$13, 100%, $E$13)</f>
        <v>13.6654</v>
      </c>
      <c r="K727" s="64">
        <f>13.6655 * CHOOSE(CONTROL!$C$22, $C$13, 100%, $E$13)</f>
        <v>13.6655</v>
      </c>
    </row>
    <row r="728" spans="1:11" ht="15">
      <c r="A728" s="13">
        <v>63645</v>
      </c>
      <c r="B728" s="63">
        <f>11.9569 * CHOOSE(CONTROL!$C$22, $C$13, 100%, $E$13)</f>
        <v>11.956899999999999</v>
      </c>
      <c r="C728" s="63">
        <f>11.9569 * CHOOSE(CONTROL!$C$22, $C$13, 100%, $E$13)</f>
        <v>11.956899999999999</v>
      </c>
      <c r="D728" s="63">
        <f>11.9569 * CHOOSE(CONTROL!$C$22, $C$13, 100%, $E$13)</f>
        <v>11.956899999999999</v>
      </c>
      <c r="E728" s="64">
        <f>13.8645 * CHOOSE(CONTROL!$C$22, $C$13, 100%, $E$13)</f>
        <v>13.8645</v>
      </c>
      <c r="F728" s="64">
        <f>13.8645 * CHOOSE(CONTROL!$C$22, $C$13, 100%, $E$13)</f>
        <v>13.8645</v>
      </c>
      <c r="G728" s="64">
        <f>13.8645 * CHOOSE(CONTROL!$C$22, $C$13, 100%, $E$13)</f>
        <v>13.8645</v>
      </c>
      <c r="H728" s="64">
        <f>23.5755* CHOOSE(CONTROL!$C$22, $C$13, 100%, $E$13)</f>
        <v>23.575500000000002</v>
      </c>
      <c r="I728" s="64">
        <f>23.5756 * CHOOSE(CONTROL!$C$22, $C$13, 100%, $E$13)</f>
        <v>23.575600000000001</v>
      </c>
      <c r="J728" s="64">
        <f>13.8645 * CHOOSE(CONTROL!$C$22, $C$13, 100%, $E$13)</f>
        <v>13.8645</v>
      </c>
      <c r="K728" s="64">
        <f>13.8645 * CHOOSE(CONTROL!$C$22, $C$13, 100%, $E$13)</f>
        <v>13.8645</v>
      </c>
    </row>
    <row r="729" spans="1:11" ht="15">
      <c r="A729" s="13">
        <v>63675</v>
      </c>
      <c r="B729" s="63">
        <f>11.9569 * CHOOSE(CONTROL!$C$22, $C$13, 100%, $E$13)</f>
        <v>11.956899999999999</v>
      </c>
      <c r="C729" s="63">
        <f>11.9569 * CHOOSE(CONTROL!$C$22, $C$13, 100%, $E$13)</f>
        <v>11.956899999999999</v>
      </c>
      <c r="D729" s="63">
        <f>11.965 * CHOOSE(CONTROL!$C$22, $C$13, 100%, $E$13)</f>
        <v>11.965</v>
      </c>
      <c r="E729" s="64">
        <f>13.9407 * CHOOSE(CONTROL!$C$22, $C$13, 100%, $E$13)</f>
        <v>13.9407</v>
      </c>
      <c r="F729" s="64">
        <f>13.9407 * CHOOSE(CONTROL!$C$22, $C$13, 100%, $E$13)</f>
        <v>13.9407</v>
      </c>
      <c r="G729" s="64">
        <f>13.9505 * CHOOSE(CONTROL!$C$22, $C$13, 100%, $E$13)</f>
        <v>13.9505</v>
      </c>
      <c r="H729" s="64">
        <f>23.6246* CHOOSE(CONTROL!$C$22, $C$13, 100%, $E$13)</f>
        <v>23.624600000000001</v>
      </c>
      <c r="I729" s="64">
        <f>23.6345 * CHOOSE(CONTROL!$C$22, $C$13, 100%, $E$13)</f>
        <v>23.634499999999999</v>
      </c>
      <c r="J729" s="64">
        <f>13.9407 * CHOOSE(CONTROL!$C$22, $C$13, 100%, $E$13)</f>
        <v>13.9407</v>
      </c>
      <c r="K729" s="64">
        <f>13.9505 * CHOOSE(CONTROL!$C$22, $C$13, 100%, $E$13)</f>
        <v>13.9505</v>
      </c>
    </row>
    <row r="730" spans="1:11" ht="15">
      <c r="A730" s="13">
        <v>63706</v>
      </c>
      <c r="B730" s="63">
        <f>11.9629 * CHOOSE(CONTROL!$C$22, $C$13, 100%, $E$13)</f>
        <v>11.962899999999999</v>
      </c>
      <c r="C730" s="63">
        <f>11.9629 * CHOOSE(CONTROL!$C$22, $C$13, 100%, $E$13)</f>
        <v>11.962899999999999</v>
      </c>
      <c r="D730" s="63">
        <f>11.971 * CHOOSE(CONTROL!$C$22, $C$13, 100%, $E$13)</f>
        <v>11.971</v>
      </c>
      <c r="E730" s="64">
        <f>13.8687 * CHOOSE(CONTROL!$C$22, $C$13, 100%, $E$13)</f>
        <v>13.8687</v>
      </c>
      <c r="F730" s="64">
        <f>13.8687 * CHOOSE(CONTROL!$C$22, $C$13, 100%, $E$13)</f>
        <v>13.8687</v>
      </c>
      <c r="G730" s="64">
        <f>13.8785 * CHOOSE(CONTROL!$C$22, $C$13, 100%, $E$13)</f>
        <v>13.878500000000001</v>
      </c>
      <c r="H730" s="64">
        <f>23.6739* CHOOSE(CONTROL!$C$22, $C$13, 100%, $E$13)</f>
        <v>23.6739</v>
      </c>
      <c r="I730" s="64">
        <f>23.6837 * CHOOSE(CONTROL!$C$22, $C$13, 100%, $E$13)</f>
        <v>23.683700000000002</v>
      </c>
      <c r="J730" s="64">
        <f>13.8687 * CHOOSE(CONTROL!$C$22, $C$13, 100%, $E$13)</f>
        <v>13.8687</v>
      </c>
      <c r="K730" s="64">
        <f>13.8785 * CHOOSE(CONTROL!$C$22, $C$13, 100%, $E$13)</f>
        <v>13.878500000000001</v>
      </c>
    </row>
    <row r="731" spans="1:11" ht="15">
      <c r="A731" s="13">
        <v>63736</v>
      </c>
      <c r="B731" s="63">
        <f>12.1458 * CHOOSE(CONTROL!$C$22, $C$13, 100%, $E$13)</f>
        <v>12.145799999999999</v>
      </c>
      <c r="C731" s="63">
        <f>12.1458 * CHOOSE(CONTROL!$C$22, $C$13, 100%, $E$13)</f>
        <v>12.145799999999999</v>
      </c>
      <c r="D731" s="63">
        <f>12.1539 * CHOOSE(CONTROL!$C$22, $C$13, 100%, $E$13)</f>
        <v>12.1539</v>
      </c>
      <c r="E731" s="64">
        <f>14.0909 * CHOOSE(CONTROL!$C$22, $C$13, 100%, $E$13)</f>
        <v>14.0909</v>
      </c>
      <c r="F731" s="64">
        <f>14.0909 * CHOOSE(CONTROL!$C$22, $C$13, 100%, $E$13)</f>
        <v>14.0909</v>
      </c>
      <c r="G731" s="64">
        <f>14.1008 * CHOOSE(CONTROL!$C$22, $C$13, 100%, $E$13)</f>
        <v>14.1008</v>
      </c>
      <c r="H731" s="64">
        <f>23.7232* CHOOSE(CONTROL!$C$22, $C$13, 100%, $E$13)</f>
        <v>23.723199999999999</v>
      </c>
      <c r="I731" s="64">
        <f>23.733 * CHOOSE(CONTROL!$C$22, $C$13, 100%, $E$13)</f>
        <v>23.733000000000001</v>
      </c>
      <c r="J731" s="64">
        <f>14.0909 * CHOOSE(CONTROL!$C$22, $C$13, 100%, $E$13)</f>
        <v>14.0909</v>
      </c>
      <c r="K731" s="64">
        <f>14.1008 * CHOOSE(CONTROL!$C$22, $C$13, 100%, $E$13)</f>
        <v>14.1008</v>
      </c>
    </row>
    <row r="732" spans="1:11" ht="15">
      <c r="A732" s="13">
        <v>63767</v>
      </c>
      <c r="B732" s="63">
        <f>12.1525 * CHOOSE(CONTROL!$C$22, $C$13, 100%, $E$13)</f>
        <v>12.1525</v>
      </c>
      <c r="C732" s="63">
        <f>12.1525 * CHOOSE(CONTROL!$C$22, $C$13, 100%, $E$13)</f>
        <v>12.1525</v>
      </c>
      <c r="D732" s="63">
        <f>12.1606 * CHOOSE(CONTROL!$C$22, $C$13, 100%, $E$13)</f>
        <v>12.160600000000001</v>
      </c>
      <c r="E732" s="64">
        <f>13.8668 * CHOOSE(CONTROL!$C$22, $C$13, 100%, $E$13)</f>
        <v>13.8668</v>
      </c>
      <c r="F732" s="64">
        <f>13.8668 * CHOOSE(CONTROL!$C$22, $C$13, 100%, $E$13)</f>
        <v>13.8668</v>
      </c>
      <c r="G732" s="64">
        <f>13.8767 * CHOOSE(CONTROL!$C$22, $C$13, 100%, $E$13)</f>
        <v>13.8767</v>
      </c>
      <c r="H732" s="64">
        <f>23.7726* CHOOSE(CONTROL!$C$22, $C$13, 100%, $E$13)</f>
        <v>23.772600000000001</v>
      </c>
      <c r="I732" s="64">
        <f>23.7824 * CHOOSE(CONTROL!$C$22, $C$13, 100%, $E$13)</f>
        <v>23.782399999999999</v>
      </c>
      <c r="J732" s="64">
        <f>13.8668 * CHOOSE(CONTROL!$C$22, $C$13, 100%, $E$13)</f>
        <v>13.8668</v>
      </c>
      <c r="K732" s="64">
        <f>13.8767 * CHOOSE(CONTROL!$C$22, $C$13, 100%, $E$13)</f>
        <v>13.8767</v>
      </c>
    </row>
    <row r="733" spans="1:11" ht="15">
      <c r="A733" s="13">
        <v>63798</v>
      </c>
      <c r="B733" s="63">
        <f>12.1495 * CHOOSE(CONTROL!$C$22, $C$13, 100%, $E$13)</f>
        <v>12.1495</v>
      </c>
      <c r="C733" s="63">
        <f>12.1495 * CHOOSE(CONTROL!$C$22, $C$13, 100%, $E$13)</f>
        <v>12.1495</v>
      </c>
      <c r="D733" s="63">
        <f>12.1576 * CHOOSE(CONTROL!$C$22, $C$13, 100%, $E$13)</f>
        <v>12.1576</v>
      </c>
      <c r="E733" s="64">
        <f>13.8393 * CHOOSE(CONTROL!$C$22, $C$13, 100%, $E$13)</f>
        <v>13.8393</v>
      </c>
      <c r="F733" s="64">
        <f>13.8393 * CHOOSE(CONTROL!$C$22, $C$13, 100%, $E$13)</f>
        <v>13.8393</v>
      </c>
      <c r="G733" s="64">
        <f>13.8491 * CHOOSE(CONTROL!$C$22, $C$13, 100%, $E$13)</f>
        <v>13.8491</v>
      </c>
      <c r="H733" s="64">
        <f>23.8221* CHOOSE(CONTROL!$C$22, $C$13, 100%, $E$13)</f>
        <v>23.822099999999999</v>
      </c>
      <c r="I733" s="64">
        <f>23.832 * CHOOSE(CONTROL!$C$22, $C$13, 100%, $E$13)</f>
        <v>23.832000000000001</v>
      </c>
      <c r="J733" s="64">
        <f>13.8393 * CHOOSE(CONTROL!$C$22, $C$13, 100%, $E$13)</f>
        <v>13.8393</v>
      </c>
      <c r="K733" s="64">
        <f>13.8491 * CHOOSE(CONTROL!$C$22, $C$13, 100%, $E$13)</f>
        <v>13.8491</v>
      </c>
    </row>
    <row r="734" spans="1:11" ht="15">
      <c r="A734" s="13">
        <v>63828</v>
      </c>
      <c r="B734" s="63">
        <f>12.1708 * CHOOSE(CONTROL!$C$22, $C$13, 100%, $E$13)</f>
        <v>12.1708</v>
      </c>
      <c r="C734" s="63">
        <f>12.1708 * CHOOSE(CONTROL!$C$22, $C$13, 100%, $E$13)</f>
        <v>12.1708</v>
      </c>
      <c r="D734" s="63">
        <f>12.1708 * CHOOSE(CONTROL!$C$22, $C$13, 100%, $E$13)</f>
        <v>12.1708</v>
      </c>
      <c r="E734" s="64">
        <f>13.9276 * CHOOSE(CONTROL!$C$22, $C$13, 100%, $E$13)</f>
        <v>13.9276</v>
      </c>
      <c r="F734" s="64">
        <f>13.9276 * CHOOSE(CONTROL!$C$22, $C$13, 100%, $E$13)</f>
        <v>13.9276</v>
      </c>
      <c r="G734" s="64">
        <f>13.9276 * CHOOSE(CONTROL!$C$22, $C$13, 100%, $E$13)</f>
        <v>13.9276</v>
      </c>
      <c r="H734" s="64">
        <f>23.8718* CHOOSE(CONTROL!$C$22, $C$13, 100%, $E$13)</f>
        <v>23.8718</v>
      </c>
      <c r="I734" s="64">
        <f>23.8718 * CHOOSE(CONTROL!$C$22, $C$13, 100%, $E$13)</f>
        <v>23.8718</v>
      </c>
      <c r="J734" s="64">
        <f>13.9276 * CHOOSE(CONTROL!$C$22, $C$13, 100%, $E$13)</f>
        <v>13.9276</v>
      </c>
      <c r="K734" s="64">
        <f>13.9276 * CHOOSE(CONTROL!$C$22, $C$13, 100%, $E$13)</f>
        <v>13.9276</v>
      </c>
    </row>
    <row r="735" spans="1:11" ht="15">
      <c r="A735" s="13">
        <v>63859</v>
      </c>
      <c r="B735" s="63">
        <f>12.1739 * CHOOSE(CONTROL!$C$22, $C$13, 100%, $E$13)</f>
        <v>12.1739</v>
      </c>
      <c r="C735" s="63">
        <f>12.1739 * CHOOSE(CONTROL!$C$22, $C$13, 100%, $E$13)</f>
        <v>12.1739</v>
      </c>
      <c r="D735" s="63">
        <f>12.1739 * CHOOSE(CONTROL!$C$22, $C$13, 100%, $E$13)</f>
        <v>12.1739</v>
      </c>
      <c r="E735" s="64">
        <f>13.9805 * CHOOSE(CONTROL!$C$22, $C$13, 100%, $E$13)</f>
        <v>13.980499999999999</v>
      </c>
      <c r="F735" s="64">
        <f>13.9805 * CHOOSE(CONTROL!$C$22, $C$13, 100%, $E$13)</f>
        <v>13.980499999999999</v>
      </c>
      <c r="G735" s="64">
        <f>13.9806 * CHOOSE(CONTROL!$C$22, $C$13, 100%, $E$13)</f>
        <v>13.980600000000001</v>
      </c>
      <c r="H735" s="64">
        <f>23.9215* CHOOSE(CONTROL!$C$22, $C$13, 100%, $E$13)</f>
        <v>23.921500000000002</v>
      </c>
      <c r="I735" s="64">
        <f>23.9216 * CHOOSE(CONTROL!$C$22, $C$13, 100%, $E$13)</f>
        <v>23.921600000000002</v>
      </c>
      <c r="J735" s="64">
        <f>13.9805 * CHOOSE(CONTROL!$C$22, $C$13, 100%, $E$13)</f>
        <v>13.980499999999999</v>
      </c>
      <c r="K735" s="64">
        <f>13.9806 * CHOOSE(CONTROL!$C$22, $C$13, 100%, $E$13)</f>
        <v>13.980600000000001</v>
      </c>
    </row>
    <row r="736" spans="1:11" ht="15">
      <c r="A736" s="13">
        <v>63889</v>
      </c>
      <c r="B736" s="63">
        <f>12.1739 * CHOOSE(CONTROL!$C$22, $C$13, 100%, $E$13)</f>
        <v>12.1739</v>
      </c>
      <c r="C736" s="63">
        <f>12.1739 * CHOOSE(CONTROL!$C$22, $C$13, 100%, $E$13)</f>
        <v>12.1739</v>
      </c>
      <c r="D736" s="63">
        <f>12.1739 * CHOOSE(CONTROL!$C$22, $C$13, 100%, $E$13)</f>
        <v>12.1739</v>
      </c>
      <c r="E736" s="64">
        <f>13.8534 * CHOOSE(CONTROL!$C$22, $C$13, 100%, $E$13)</f>
        <v>13.853400000000001</v>
      </c>
      <c r="F736" s="64">
        <f>13.8534 * CHOOSE(CONTROL!$C$22, $C$13, 100%, $E$13)</f>
        <v>13.853400000000001</v>
      </c>
      <c r="G736" s="64">
        <f>13.8535 * CHOOSE(CONTROL!$C$22, $C$13, 100%, $E$13)</f>
        <v>13.8535</v>
      </c>
      <c r="H736" s="64">
        <f>23.9713* CHOOSE(CONTROL!$C$22, $C$13, 100%, $E$13)</f>
        <v>23.971299999999999</v>
      </c>
      <c r="I736" s="64">
        <f>23.9714 * CHOOSE(CONTROL!$C$22, $C$13, 100%, $E$13)</f>
        <v>23.971399999999999</v>
      </c>
      <c r="J736" s="64">
        <f>13.8534 * CHOOSE(CONTROL!$C$22, $C$13, 100%, $E$13)</f>
        <v>13.853400000000001</v>
      </c>
      <c r="K736" s="64">
        <f>13.8535 * CHOOSE(CONTROL!$C$22, $C$13, 100%, $E$13)</f>
        <v>13.8535</v>
      </c>
    </row>
    <row r="737" spans="1:11" ht="15">
      <c r="A737" s="13">
        <v>63920</v>
      </c>
      <c r="B737" s="63">
        <f>12.1942 * CHOOSE(CONTROL!$C$22, $C$13, 100%, $E$13)</f>
        <v>12.1942</v>
      </c>
      <c r="C737" s="63">
        <f>12.1942 * CHOOSE(CONTROL!$C$22, $C$13, 100%, $E$13)</f>
        <v>12.1942</v>
      </c>
      <c r="D737" s="63">
        <f>12.1942 * CHOOSE(CONTROL!$C$22, $C$13, 100%, $E$13)</f>
        <v>12.1942</v>
      </c>
      <c r="E737" s="64">
        <f>13.9752 * CHOOSE(CONTROL!$C$22, $C$13, 100%, $E$13)</f>
        <v>13.975199999999999</v>
      </c>
      <c r="F737" s="64">
        <f>13.9752 * CHOOSE(CONTROL!$C$22, $C$13, 100%, $E$13)</f>
        <v>13.975199999999999</v>
      </c>
      <c r="G737" s="64">
        <f>13.9752 * CHOOSE(CONTROL!$C$22, $C$13, 100%, $E$13)</f>
        <v>13.975199999999999</v>
      </c>
      <c r="H737" s="64">
        <f>23.8747* CHOOSE(CONTROL!$C$22, $C$13, 100%, $E$13)</f>
        <v>23.874700000000001</v>
      </c>
      <c r="I737" s="64">
        <f>23.8748 * CHOOSE(CONTROL!$C$22, $C$13, 100%, $E$13)</f>
        <v>23.8748</v>
      </c>
      <c r="J737" s="64">
        <f>13.9752 * CHOOSE(CONTROL!$C$22, $C$13, 100%, $E$13)</f>
        <v>13.975199999999999</v>
      </c>
      <c r="K737" s="64">
        <f>13.9752 * CHOOSE(CONTROL!$C$22, $C$13, 100%, $E$13)</f>
        <v>13.975199999999999</v>
      </c>
    </row>
    <row r="738" spans="1:11" ht="15">
      <c r="A738" s="13">
        <v>63951</v>
      </c>
      <c r="B738" s="63">
        <f>12.1911 * CHOOSE(CONTROL!$C$22, $C$13, 100%, $E$13)</f>
        <v>12.1911</v>
      </c>
      <c r="C738" s="63">
        <f>12.1911 * CHOOSE(CONTROL!$C$22, $C$13, 100%, $E$13)</f>
        <v>12.1911</v>
      </c>
      <c r="D738" s="63">
        <f>12.1911 * CHOOSE(CONTROL!$C$22, $C$13, 100%, $E$13)</f>
        <v>12.1911</v>
      </c>
      <c r="E738" s="64">
        <f>13.728 * CHOOSE(CONTROL!$C$22, $C$13, 100%, $E$13)</f>
        <v>13.728</v>
      </c>
      <c r="F738" s="64">
        <f>13.728 * CHOOSE(CONTROL!$C$22, $C$13, 100%, $E$13)</f>
        <v>13.728</v>
      </c>
      <c r="G738" s="64">
        <f>13.728 * CHOOSE(CONTROL!$C$22, $C$13, 100%, $E$13)</f>
        <v>13.728</v>
      </c>
      <c r="H738" s="64">
        <f>23.9244* CHOOSE(CONTROL!$C$22, $C$13, 100%, $E$13)</f>
        <v>23.924399999999999</v>
      </c>
      <c r="I738" s="64">
        <f>23.9245 * CHOOSE(CONTROL!$C$22, $C$13, 100%, $E$13)</f>
        <v>23.924499999999998</v>
      </c>
      <c r="J738" s="64">
        <f>13.728 * CHOOSE(CONTROL!$C$22, $C$13, 100%, $E$13)</f>
        <v>13.728</v>
      </c>
      <c r="K738" s="64">
        <f>13.728 * CHOOSE(CONTROL!$C$22, $C$13, 100%, $E$13)</f>
        <v>13.728</v>
      </c>
    </row>
    <row r="739" spans="1:11" ht="15">
      <c r="A739" s="13">
        <v>63979</v>
      </c>
      <c r="B739" s="63">
        <f>12.1881 * CHOOSE(CONTROL!$C$22, $C$13, 100%, $E$13)</f>
        <v>12.1881</v>
      </c>
      <c r="C739" s="63">
        <f>12.1881 * CHOOSE(CONTROL!$C$22, $C$13, 100%, $E$13)</f>
        <v>12.1881</v>
      </c>
      <c r="D739" s="63">
        <f>12.1881 * CHOOSE(CONTROL!$C$22, $C$13, 100%, $E$13)</f>
        <v>12.1881</v>
      </c>
      <c r="E739" s="64">
        <f>13.9191 * CHOOSE(CONTROL!$C$22, $C$13, 100%, $E$13)</f>
        <v>13.9191</v>
      </c>
      <c r="F739" s="64">
        <f>13.9191 * CHOOSE(CONTROL!$C$22, $C$13, 100%, $E$13)</f>
        <v>13.9191</v>
      </c>
      <c r="G739" s="64">
        <f>13.9191 * CHOOSE(CONTROL!$C$22, $C$13, 100%, $E$13)</f>
        <v>13.9191</v>
      </c>
      <c r="H739" s="64">
        <f>23.9743* CHOOSE(CONTROL!$C$22, $C$13, 100%, $E$13)</f>
        <v>23.974299999999999</v>
      </c>
      <c r="I739" s="64">
        <f>23.9743 * CHOOSE(CONTROL!$C$22, $C$13, 100%, $E$13)</f>
        <v>23.974299999999999</v>
      </c>
      <c r="J739" s="64">
        <f>13.9191 * CHOOSE(CONTROL!$C$22, $C$13, 100%, $E$13)</f>
        <v>13.9191</v>
      </c>
      <c r="K739" s="64">
        <f>13.9191 * CHOOSE(CONTROL!$C$22, $C$13, 100%, $E$13)</f>
        <v>13.9191</v>
      </c>
    </row>
    <row r="740" spans="1:11" ht="15">
      <c r="A740" s="13">
        <v>64010</v>
      </c>
      <c r="B740" s="63">
        <f>12.1926 * CHOOSE(CONTROL!$C$22, $C$13, 100%, $E$13)</f>
        <v>12.192600000000001</v>
      </c>
      <c r="C740" s="63">
        <f>12.1926 * CHOOSE(CONTROL!$C$22, $C$13, 100%, $E$13)</f>
        <v>12.192600000000001</v>
      </c>
      <c r="D740" s="63">
        <f>12.1926 * CHOOSE(CONTROL!$C$22, $C$13, 100%, $E$13)</f>
        <v>12.192600000000001</v>
      </c>
      <c r="E740" s="64">
        <f>14.1223 * CHOOSE(CONTROL!$C$22, $C$13, 100%, $E$13)</f>
        <v>14.122299999999999</v>
      </c>
      <c r="F740" s="64">
        <f>14.1223 * CHOOSE(CONTROL!$C$22, $C$13, 100%, $E$13)</f>
        <v>14.122299999999999</v>
      </c>
      <c r="G740" s="64">
        <f>14.1224 * CHOOSE(CONTROL!$C$22, $C$13, 100%, $E$13)</f>
        <v>14.122400000000001</v>
      </c>
      <c r="H740" s="64">
        <f>24.0242* CHOOSE(CONTROL!$C$22, $C$13, 100%, $E$13)</f>
        <v>24.0242</v>
      </c>
      <c r="I740" s="64">
        <f>24.0243 * CHOOSE(CONTROL!$C$22, $C$13, 100%, $E$13)</f>
        <v>24.0243</v>
      </c>
      <c r="J740" s="64">
        <f>14.1223 * CHOOSE(CONTROL!$C$22, $C$13, 100%, $E$13)</f>
        <v>14.122299999999999</v>
      </c>
      <c r="K740" s="64">
        <f>14.1224 * CHOOSE(CONTROL!$C$22, $C$13, 100%, $E$13)</f>
        <v>14.122400000000001</v>
      </c>
    </row>
    <row r="741" spans="1:11" ht="15">
      <c r="A741" s="13">
        <v>64040</v>
      </c>
      <c r="B741" s="63">
        <f>12.1926 * CHOOSE(CONTROL!$C$22, $C$13, 100%, $E$13)</f>
        <v>12.192600000000001</v>
      </c>
      <c r="C741" s="63">
        <f>12.1926 * CHOOSE(CONTROL!$C$22, $C$13, 100%, $E$13)</f>
        <v>12.192600000000001</v>
      </c>
      <c r="D741" s="63">
        <f>12.2007 * CHOOSE(CONTROL!$C$22, $C$13, 100%, $E$13)</f>
        <v>12.200699999999999</v>
      </c>
      <c r="E741" s="64">
        <f>14.2001 * CHOOSE(CONTROL!$C$22, $C$13, 100%, $E$13)</f>
        <v>14.200100000000001</v>
      </c>
      <c r="F741" s="64">
        <f>14.2001 * CHOOSE(CONTROL!$C$22, $C$13, 100%, $E$13)</f>
        <v>14.200100000000001</v>
      </c>
      <c r="G741" s="64">
        <f>14.21 * CHOOSE(CONTROL!$C$22, $C$13, 100%, $E$13)</f>
        <v>14.21</v>
      </c>
      <c r="H741" s="64">
        <f>24.0743* CHOOSE(CONTROL!$C$22, $C$13, 100%, $E$13)</f>
        <v>24.074300000000001</v>
      </c>
      <c r="I741" s="64">
        <f>24.0841 * CHOOSE(CONTROL!$C$22, $C$13, 100%, $E$13)</f>
        <v>24.084099999999999</v>
      </c>
      <c r="J741" s="64">
        <f>14.2001 * CHOOSE(CONTROL!$C$22, $C$13, 100%, $E$13)</f>
        <v>14.200100000000001</v>
      </c>
      <c r="K741" s="64">
        <f>14.21 * CHOOSE(CONTROL!$C$22, $C$13, 100%, $E$13)</f>
        <v>14.21</v>
      </c>
    </row>
    <row r="742" spans="1:11" ht="15">
      <c r="A742" s="13">
        <v>64071</v>
      </c>
      <c r="B742" s="63">
        <f>12.1987 * CHOOSE(CONTROL!$C$22, $C$13, 100%, $E$13)</f>
        <v>12.198700000000001</v>
      </c>
      <c r="C742" s="63">
        <f>12.1987 * CHOOSE(CONTROL!$C$22, $C$13, 100%, $E$13)</f>
        <v>12.198700000000001</v>
      </c>
      <c r="D742" s="63">
        <f>12.2068 * CHOOSE(CONTROL!$C$22, $C$13, 100%, $E$13)</f>
        <v>12.206799999999999</v>
      </c>
      <c r="E742" s="64">
        <f>14.1266 * CHOOSE(CONTROL!$C$22, $C$13, 100%, $E$13)</f>
        <v>14.1266</v>
      </c>
      <c r="F742" s="64">
        <f>14.1266 * CHOOSE(CONTROL!$C$22, $C$13, 100%, $E$13)</f>
        <v>14.1266</v>
      </c>
      <c r="G742" s="64">
        <f>14.1364 * CHOOSE(CONTROL!$C$22, $C$13, 100%, $E$13)</f>
        <v>14.1364</v>
      </c>
      <c r="H742" s="64">
        <f>24.1244* CHOOSE(CONTROL!$C$22, $C$13, 100%, $E$13)</f>
        <v>24.124400000000001</v>
      </c>
      <c r="I742" s="64">
        <f>24.1342 * CHOOSE(CONTROL!$C$22, $C$13, 100%, $E$13)</f>
        <v>24.1342</v>
      </c>
      <c r="J742" s="64">
        <f>14.1266 * CHOOSE(CONTROL!$C$22, $C$13, 100%, $E$13)</f>
        <v>14.1266</v>
      </c>
      <c r="K742" s="64">
        <f>14.1364 * CHOOSE(CONTROL!$C$22, $C$13, 100%, $E$13)</f>
        <v>14.1364</v>
      </c>
    </row>
    <row r="743" spans="1:11" ht="15">
      <c r="A743" s="13">
        <v>64101</v>
      </c>
      <c r="B743" s="63">
        <f>12.385 * CHOOSE(CONTROL!$C$22, $C$13, 100%, $E$13)</f>
        <v>12.385</v>
      </c>
      <c r="C743" s="63">
        <f>12.385 * CHOOSE(CONTROL!$C$22, $C$13, 100%, $E$13)</f>
        <v>12.385</v>
      </c>
      <c r="D743" s="63">
        <f>12.3931 * CHOOSE(CONTROL!$C$22, $C$13, 100%, $E$13)</f>
        <v>12.3931</v>
      </c>
      <c r="E743" s="64">
        <f>14.3527 * CHOOSE(CONTROL!$C$22, $C$13, 100%, $E$13)</f>
        <v>14.3527</v>
      </c>
      <c r="F743" s="64">
        <f>14.3527 * CHOOSE(CONTROL!$C$22, $C$13, 100%, $E$13)</f>
        <v>14.3527</v>
      </c>
      <c r="G743" s="64">
        <f>14.3625 * CHOOSE(CONTROL!$C$22, $C$13, 100%, $E$13)</f>
        <v>14.362500000000001</v>
      </c>
      <c r="H743" s="64">
        <f>24.1747* CHOOSE(CONTROL!$C$22, $C$13, 100%, $E$13)</f>
        <v>24.174700000000001</v>
      </c>
      <c r="I743" s="64">
        <f>24.1845 * CHOOSE(CONTROL!$C$22, $C$13, 100%, $E$13)</f>
        <v>24.1845</v>
      </c>
      <c r="J743" s="64">
        <f>14.3527 * CHOOSE(CONTROL!$C$22, $C$13, 100%, $E$13)</f>
        <v>14.3527</v>
      </c>
      <c r="K743" s="64">
        <f>14.3625 * CHOOSE(CONTROL!$C$22, $C$13, 100%, $E$13)</f>
        <v>14.362500000000001</v>
      </c>
    </row>
    <row r="744" spans="1:11" ht="15">
      <c r="A744" s="13">
        <v>64132</v>
      </c>
      <c r="B744" s="63">
        <f>12.3917 * CHOOSE(CONTROL!$C$22, $C$13, 100%, $E$13)</f>
        <v>12.3917</v>
      </c>
      <c r="C744" s="63">
        <f>12.3917 * CHOOSE(CONTROL!$C$22, $C$13, 100%, $E$13)</f>
        <v>12.3917</v>
      </c>
      <c r="D744" s="63">
        <f>12.3998 * CHOOSE(CONTROL!$C$22, $C$13, 100%, $E$13)</f>
        <v>12.399800000000001</v>
      </c>
      <c r="E744" s="64">
        <f>14.1239 * CHOOSE(CONTROL!$C$22, $C$13, 100%, $E$13)</f>
        <v>14.123900000000001</v>
      </c>
      <c r="F744" s="64">
        <f>14.1239 * CHOOSE(CONTROL!$C$22, $C$13, 100%, $E$13)</f>
        <v>14.123900000000001</v>
      </c>
      <c r="G744" s="64">
        <f>14.1337 * CHOOSE(CONTROL!$C$22, $C$13, 100%, $E$13)</f>
        <v>14.133699999999999</v>
      </c>
      <c r="H744" s="64">
        <f>24.225* CHOOSE(CONTROL!$C$22, $C$13, 100%, $E$13)</f>
        <v>24.225000000000001</v>
      </c>
      <c r="I744" s="64">
        <f>24.2349 * CHOOSE(CONTROL!$C$22, $C$13, 100%, $E$13)</f>
        <v>24.2349</v>
      </c>
      <c r="J744" s="64">
        <f>14.1239 * CHOOSE(CONTROL!$C$22, $C$13, 100%, $E$13)</f>
        <v>14.123900000000001</v>
      </c>
      <c r="K744" s="64">
        <f>14.1337 * CHOOSE(CONTROL!$C$22, $C$13, 100%, $E$13)</f>
        <v>14.133699999999999</v>
      </c>
    </row>
    <row r="745" spans="1:11" ht="15">
      <c r="A745" s="13">
        <v>64163</v>
      </c>
      <c r="B745" s="63">
        <f>12.3886 * CHOOSE(CONTROL!$C$22, $C$13, 100%, $E$13)</f>
        <v>12.3886</v>
      </c>
      <c r="C745" s="63">
        <f>12.3886 * CHOOSE(CONTROL!$C$22, $C$13, 100%, $E$13)</f>
        <v>12.3886</v>
      </c>
      <c r="D745" s="63">
        <f>12.3967 * CHOOSE(CONTROL!$C$22, $C$13, 100%, $E$13)</f>
        <v>12.396699999999999</v>
      </c>
      <c r="E745" s="64">
        <f>14.0959 * CHOOSE(CONTROL!$C$22, $C$13, 100%, $E$13)</f>
        <v>14.0959</v>
      </c>
      <c r="F745" s="64">
        <f>14.0959 * CHOOSE(CONTROL!$C$22, $C$13, 100%, $E$13)</f>
        <v>14.0959</v>
      </c>
      <c r="G745" s="64">
        <f>14.1057 * CHOOSE(CONTROL!$C$22, $C$13, 100%, $E$13)</f>
        <v>14.105700000000001</v>
      </c>
      <c r="H745" s="64">
        <f>24.2755* CHOOSE(CONTROL!$C$22, $C$13, 100%, $E$13)</f>
        <v>24.275500000000001</v>
      </c>
      <c r="I745" s="64">
        <f>24.2853 * CHOOSE(CONTROL!$C$22, $C$13, 100%, $E$13)</f>
        <v>24.285299999999999</v>
      </c>
      <c r="J745" s="64">
        <f>14.0959 * CHOOSE(CONTROL!$C$22, $C$13, 100%, $E$13)</f>
        <v>14.0959</v>
      </c>
      <c r="K745" s="64">
        <f>14.1057 * CHOOSE(CONTROL!$C$22, $C$13, 100%, $E$13)</f>
        <v>14.105700000000001</v>
      </c>
    </row>
    <row r="746" spans="1:11" ht="15">
      <c r="A746" s="13">
        <v>64193</v>
      </c>
      <c r="B746" s="63">
        <f>12.4108 * CHOOSE(CONTROL!$C$22, $C$13, 100%, $E$13)</f>
        <v>12.4108</v>
      </c>
      <c r="C746" s="63">
        <f>12.4108 * CHOOSE(CONTROL!$C$22, $C$13, 100%, $E$13)</f>
        <v>12.4108</v>
      </c>
      <c r="D746" s="63">
        <f>12.4108 * CHOOSE(CONTROL!$C$22, $C$13, 100%, $E$13)</f>
        <v>12.4108</v>
      </c>
      <c r="E746" s="64">
        <f>14.1862 * CHOOSE(CONTROL!$C$22, $C$13, 100%, $E$13)</f>
        <v>14.186199999999999</v>
      </c>
      <c r="F746" s="64">
        <f>14.1862 * CHOOSE(CONTROL!$C$22, $C$13, 100%, $E$13)</f>
        <v>14.186199999999999</v>
      </c>
      <c r="G746" s="64">
        <f>14.1863 * CHOOSE(CONTROL!$C$22, $C$13, 100%, $E$13)</f>
        <v>14.186299999999999</v>
      </c>
      <c r="H746" s="64">
        <f>24.3261* CHOOSE(CONTROL!$C$22, $C$13, 100%, $E$13)</f>
        <v>24.3261</v>
      </c>
      <c r="I746" s="64">
        <f>24.3262 * CHOOSE(CONTROL!$C$22, $C$13, 100%, $E$13)</f>
        <v>24.3262</v>
      </c>
      <c r="J746" s="64">
        <f>14.1862 * CHOOSE(CONTROL!$C$22, $C$13, 100%, $E$13)</f>
        <v>14.186199999999999</v>
      </c>
      <c r="K746" s="64">
        <f>14.1863 * CHOOSE(CONTROL!$C$22, $C$13, 100%, $E$13)</f>
        <v>14.186299999999999</v>
      </c>
    </row>
    <row r="747" spans="1:11" ht="15">
      <c r="A747" s="13">
        <v>64224</v>
      </c>
      <c r="B747" s="63">
        <f>12.4138 * CHOOSE(CONTROL!$C$22, $C$13, 100%, $E$13)</f>
        <v>12.4138</v>
      </c>
      <c r="C747" s="63">
        <f>12.4138 * CHOOSE(CONTROL!$C$22, $C$13, 100%, $E$13)</f>
        <v>12.4138</v>
      </c>
      <c r="D747" s="63">
        <f>12.4138 * CHOOSE(CONTROL!$C$22, $C$13, 100%, $E$13)</f>
        <v>12.4138</v>
      </c>
      <c r="E747" s="64">
        <f>14.2402 * CHOOSE(CONTROL!$C$22, $C$13, 100%, $E$13)</f>
        <v>14.2402</v>
      </c>
      <c r="F747" s="64">
        <f>14.2402 * CHOOSE(CONTROL!$C$22, $C$13, 100%, $E$13)</f>
        <v>14.2402</v>
      </c>
      <c r="G747" s="64">
        <f>14.2403 * CHOOSE(CONTROL!$C$22, $C$13, 100%, $E$13)</f>
        <v>14.2403</v>
      </c>
      <c r="H747" s="64">
        <f>24.3768* CHOOSE(CONTROL!$C$22, $C$13, 100%, $E$13)</f>
        <v>24.376799999999999</v>
      </c>
      <c r="I747" s="64">
        <f>24.3768 * CHOOSE(CONTROL!$C$22, $C$13, 100%, $E$13)</f>
        <v>24.376799999999999</v>
      </c>
      <c r="J747" s="64">
        <f>14.2402 * CHOOSE(CONTROL!$C$22, $C$13, 100%, $E$13)</f>
        <v>14.2402</v>
      </c>
      <c r="K747" s="64">
        <f>14.2403 * CHOOSE(CONTROL!$C$22, $C$13, 100%, $E$13)</f>
        <v>14.2403</v>
      </c>
    </row>
    <row r="748" spans="1:11" ht="15">
      <c r="A748" s="13">
        <v>64254</v>
      </c>
      <c r="B748" s="63">
        <f>12.4138 * CHOOSE(CONTROL!$C$22, $C$13, 100%, $E$13)</f>
        <v>12.4138</v>
      </c>
      <c r="C748" s="63">
        <f>12.4138 * CHOOSE(CONTROL!$C$22, $C$13, 100%, $E$13)</f>
        <v>12.4138</v>
      </c>
      <c r="D748" s="63">
        <f>12.4138 * CHOOSE(CONTROL!$C$22, $C$13, 100%, $E$13)</f>
        <v>12.4138</v>
      </c>
      <c r="E748" s="64">
        <f>14.1105 * CHOOSE(CONTROL!$C$22, $C$13, 100%, $E$13)</f>
        <v>14.1105</v>
      </c>
      <c r="F748" s="64">
        <f>14.1105 * CHOOSE(CONTROL!$C$22, $C$13, 100%, $E$13)</f>
        <v>14.1105</v>
      </c>
      <c r="G748" s="64">
        <f>14.1106 * CHOOSE(CONTROL!$C$22, $C$13, 100%, $E$13)</f>
        <v>14.1106</v>
      </c>
      <c r="H748" s="64">
        <f>24.4275* CHOOSE(CONTROL!$C$22, $C$13, 100%, $E$13)</f>
        <v>24.427499999999998</v>
      </c>
      <c r="I748" s="64">
        <f>24.4276 * CHOOSE(CONTROL!$C$22, $C$13, 100%, $E$13)</f>
        <v>24.427600000000002</v>
      </c>
      <c r="J748" s="64">
        <f>14.1105 * CHOOSE(CONTROL!$C$22, $C$13, 100%, $E$13)</f>
        <v>14.1105</v>
      </c>
      <c r="K748" s="64">
        <f>14.1106 * CHOOSE(CONTROL!$C$22, $C$13, 100%, $E$13)</f>
        <v>14.1106</v>
      </c>
    </row>
    <row r="749" spans="1:11" ht="15">
      <c r="A749" s="13">
        <v>64285</v>
      </c>
      <c r="B749" s="63">
        <f>12.4297 * CHOOSE(CONTROL!$C$22, $C$13, 100%, $E$13)</f>
        <v>12.4297</v>
      </c>
      <c r="C749" s="63">
        <f>12.4297 * CHOOSE(CONTROL!$C$22, $C$13, 100%, $E$13)</f>
        <v>12.4297</v>
      </c>
      <c r="D749" s="63">
        <f>12.4297 * CHOOSE(CONTROL!$C$22, $C$13, 100%, $E$13)</f>
        <v>12.4297</v>
      </c>
      <c r="E749" s="64">
        <f>14.2299 * CHOOSE(CONTROL!$C$22, $C$13, 100%, $E$13)</f>
        <v>14.229900000000001</v>
      </c>
      <c r="F749" s="64">
        <f>14.2299 * CHOOSE(CONTROL!$C$22, $C$13, 100%, $E$13)</f>
        <v>14.229900000000001</v>
      </c>
      <c r="G749" s="64">
        <f>14.23 * CHOOSE(CONTROL!$C$22, $C$13, 100%, $E$13)</f>
        <v>14.23</v>
      </c>
      <c r="H749" s="64">
        <f>24.3206* CHOOSE(CONTROL!$C$22, $C$13, 100%, $E$13)</f>
        <v>24.320599999999999</v>
      </c>
      <c r="I749" s="64">
        <f>24.3206 * CHOOSE(CONTROL!$C$22, $C$13, 100%, $E$13)</f>
        <v>24.320599999999999</v>
      </c>
      <c r="J749" s="64">
        <f>14.2299 * CHOOSE(CONTROL!$C$22, $C$13, 100%, $E$13)</f>
        <v>14.229900000000001</v>
      </c>
      <c r="K749" s="64">
        <f>14.23 * CHOOSE(CONTROL!$C$22, $C$13, 100%, $E$13)</f>
        <v>14.23</v>
      </c>
    </row>
    <row r="750" spans="1:11" ht="15">
      <c r="A750" s="13">
        <v>64316</v>
      </c>
      <c r="B750" s="63">
        <f>12.4267 * CHOOSE(CONTROL!$C$22, $C$13, 100%, $E$13)</f>
        <v>12.4267</v>
      </c>
      <c r="C750" s="63">
        <f>12.4267 * CHOOSE(CONTROL!$C$22, $C$13, 100%, $E$13)</f>
        <v>12.4267</v>
      </c>
      <c r="D750" s="63">
        <f>12.4267 * CHOOSE(CONTROL!$C$22, $C$13, 100%, $E$13)</f>
        <v>12.4267</v>
      </c>
      <c r="E750" s="64">
        <f>13.9777 * CHOOSE(CONTROL!$C$22, $C$13, 100%, $E$13)</f>
        <v>13.9777</v>
      </c>
      <c r="F750" s="64">
        <f>13.9777 * CHOOSE(CONTROL!$C$22, $C$13, 100%, $E$13)</f>
        <v>13.9777</v>
      </c>
      <c r="G750" s="64">
        <f>13.9778 * CHOOSE(CONTROL!$C$22, $C$13, 100%, $E$13)</f>
        <v>13.9778</v>
      </c>
      <c r="H750" s="64">
        <f>24.3712* CHOOSE(CONTROL!$C$22, $C$13, 100%, $E$13)</f>
        <v>24.371200000000002</v>
      </c>
      <c r="I750" s="64">
        <f>24.3713 * CHOOSE(CONTROL!$C$22, $C$13, 100%, $E$13)</f>
        <v>24.371300000000002</v>
      </c>
      <c r="J750" s="64">
        <f>13.9777 * CHOOSE(CONTROL!$C$22, $C$13, 100%, $E$13)</f>
        <v>13.9777</v>
      </c>
      <c r="K750" s="64">
        <f>13.9778 * CHOOSE(CONTROL!$C$22, $C$13, 100%, $E$13)</f>
        <v>13.9778</v>
      </c>
    </row>
    <row r="751" spans="1:11" ht="15">
      <c r="A751" s="13">
        <v>64345</v>
      </c>
      <c r="B751" s="63">
        <f>12.4237 * CHOOSE(CONTROL!$C$22, $C$13, 100%, $E$13)</f>
        <v>12.4237</v>
      </c>
      <c r="C751" s="63">
        <f>12.4237 * CHOOSE(CONTROL!$C$22, $C$13, 100%, $E$13)</f>
        <v>12.4237</v>
      </c>
      <c r="D751" s="63">
        <f>12.4237 * CHOOSE(CONTROL!$C$22, $C$13, 100%, $E$13)</f>
        <v>12.4237</v>
      </c>
      <c r="E751" s="64">
        <f>14.1727 * CHOOSE(CONTROL!$C$22, $C$13, 100%, $E$13)</f>
        <v>14.172700000000001</v>
      </c>
      <c r="F751" s="64">
        <f>14.1727 * CHOOSE(CONTROL!$C$22, $C$13, 100%, $E$13)</f>
        <v>14.172700000000001</v>
      </c>
      <c r="G751" s="64">
        <f>14.1728 * CHOOSE(CONTROL!$C$22, $C$13, 100%, $E$13)</f>
        <v>14.172800000000001</v>
      </c>
      <c r="H751" s="64">
        <f>24.422* CHOOSE(CONTROL!$C$22, $C$13, 100%, $E$13)</f>
        <v>24.422000000000001</v>
      </c>
      <c r="I751" s="64">
        <f>24.4221 * CHOOSE(CONTROL!$C$22, $C$13, 100%, $E$13)</f>
        <v>24.4221</v>
      </c>
      <c r="J751" s="64">
        <f>14.1727 * CHOOSE(CONTROL!$C$22, $C$13, 100%, $E$13)</f>
        <v>14.172700000000001</v>
      </c>
      <c r="K751" s="64">
        <f>14.1728 * CHOOSE(CONTROL!$C$22, $C$13, 100%, $E$13)</f>
        <v>14.172800000000001</v>
      </c>
    </row>
    <row r="752" spans="1:11" ht="15">
      <c r="A752" s="13">
        <v>64376</v>
      </c>
      <c r="B752" s="63">
        <f>12.4284 * CHOOSE(CONTROL!$C$22, $C$13, 100%, $E$13)</f>
        <v>12.4284</v>
      </c>
      <c r="C752" s="63">
        <f>12.4284 * CHOOSE(CONTROL!$C$22, $C$13, 100%, $E$13)</f>
        <v>12.4284</v>
      </c>
      <c r="D752" s="63">
        <f>12.4284 * CHOOSE(CONTROL!$C$22, $C$13, 100%, $E$13)</f>
        <v>12.4284</v>
      </c>
      <c r="E752" s="64">
        <f>14.3802 * CHOOSE(CONTROL!$C$22, $C$13, 100%, $E$13)</f>
        <v>14.3802</v>
      </c>
      <c r="F752" s="64">
        <f>14.3802 * CHOOSE(CONTROL!$C$22, $C$13, 100%, $E$13)</f>
        <v>14.3802</v>
      </c>
      <c r="G752" s="64">
        <f>14.3803 * CHOOSE(CONTROL!$C$22, $C$13, 100%, $E$13)</f>
        <v>14.3803</v>
      </c>
      <c r="H752" s="64">
        <f>24.4729* CHOOSE(CONTROL!$C$22, $C$13, 100%, $E$13)</f>
        <v>24.472899999999999</v>
      </c>
      <c r="I752" s="64">
        <f>24.473 * CHOOSE(CONTROL!$C$22, $C$13, 100%, $E$13)</f>
        <v>24.472999999999999</v>
      </c>
      <c r="J752" s="64">
        <f>14.3802 * CHOOSE(CONTROL!$C$22, $C$13, 100%, $E$13)</f>
        <v>14.3802</v>
      </c>
      <c r="K752" s="64">
        <f>14.3803 * CHOOSE(CONTROL!$C$22, $C$13, 100%, $E$13)</f>
        <v>14.3803</v>
      </c>
    </row>
    <row r="753" spans="1:11" ht="15">
      <c r="A753" s="13">
        <v>64406</v>
      </c>
      <c r="B753" s="63">
        <f>12.4284 * CHOOSE(CONTROL!$C$22, $C$13, 100%, $E$13)</f>
        <v>12.4284</v>
      </c>
      <c r="C753" s="63">
        <f>12.4284 * CHOOSE(CONTROL!$C$22, $C$13, 100%, $E$13)</f>
        <v>12.4284</v>
      </c>
      <c r="D753" s="63">
        <f>12.4365 * CHOOSE(CONTROL!$C$22, $C$13, 100%, $E$13)</f>
        <v>12.436500000000001</v>
      </c>
      <c r="E753" s="64">
        <f>14.4596 * CHOOSE(CONTROL!$C$22, $C$13, 100%, $E$13)</f>
        <v>14.4596</v>
      </c>
      <c r="F753" s="64">
        <f>14.4596 * CHOOSE(CONTROL!$C$22, $C$13, 100%, $E$13)</f>
        <v>14.4596</v>
      </c>
      <c r="G753" s="64">
        <f>14.4694 * CHOOSE(CONTROL!$C$22, $C$13, 100%, $E$13)</f>
        <v>14.4694</v>
      </c>
      <c r="H753" s="64">
        <f>24.5239* CHOOSE(CONTROL!$C$22, $C$13, 100%, $E$13)</f>
        <v>24.523900000000001</v>
      </c>
      <c r="I753" s="64">
        <f>24.5337 * CHOOSE(CONTROL!$C$22, $C$13, 100%, $E$13)</f>
        <v>24.5337</v>
      </c>
      <c r="J753" s="64">
        <f>14.4596 * CHOOSE(CONTROL!$C$22, $C$13, 100%, $E$13)</f>
        <v>14.4596</v>
      </c>
      <c r="K753" s="64">
        <f>14.4694 * CHOOSE(CONTROL!$C$22, $C$13, 100%, $E$13)</f>
        <v>14.4694</v>
      </c>
    </row>
    <row r="754" spans="1:11" ht="15">
      <c r="A754" s="13">
        <v>64437</v>
      </c>
      <c r="B754" s="63">
        <f>12.4345 * CHOOSE(CONTROL!$C$22, $C$13, 100%, $E$13)</f>
        <v>12.4345</v>
      </c>
      <c r="C754" s="63">
        <f>12.4345 * CHOOSE(CONTROL!$C$22, $C$13, 100%, $E$13)</f>
        <v>12.4345</v>
      </c>
      <c r="D754" s="63">
        <f>12.4426 * CHOOSE(CONTROL!$C$22, $C$13, 100%, $E$13)</f>
        <v>12.442600000000001</v>
      </c>
      <c r="E754" s="64">
        <f>14.3844 * CHOOSE(CONTROL!$C$22, $C$13, 100%, $E$13)</f>
        <v>14.384399999999999</v>
      </c>
      <c r="F754" s="64">
        <f>14.3844 * CHOOSE(CONTROL!$C$22, $C$13, 100%, $E$13)</f>
        <v>14.384399999999999</v>
      </c>
      <c r="G754" s="64">
        <f>14.3942 * CHOOSE(CONTROL!$C$22, $C$13, 100%, $E$13)</f>
        <v>14.3942</v>
      </c>
      <c r="H754" s="64">
        <f>24.575* CHOOSE(CONTROL!$C$22, $C$13, 100%, $E$13)</f>
        <v>24.574999999999999</v>
      </c>
      <c r="I754" s="64">
        <f>24.5848 * CHOOSE(CONTROL!$C$22, $C$13, 100%, $E$13)</f>
        <v>24.584800000000001</v>
      </c>
      <c r="J754" s="64">
        <f>14.3844 * CHOOSE(CONTROL!$C$22, $C$13, 100%, $E$13)</f>
        <v>14.384399999999999</v>
      </c>
      <c r="K754" s="64">
        <f>14.3942 * CHOOSE(CONTROL!$C$22, $C$13, 100%, $E$13)</f>
        <v>14.3942</v>
      </c>
    </row>
    <row r="755" spans="1:11" ht="15">
      <c r="A755" s="13">
        <v>64467</v>
      </c>
      <c r="B755" s="63">
        <f>12.6242 * CHOOSE(CONTROL!$C$22, $C$13, 100%, $E$13)</f>
        <v>12.6242</v>
      </c>
      <c r="C755" s="63">
        <f>12.6242 * CHOOSE(CONTROL!$C$22, $C$13, 100%, $E$13)</f>
        <v>12.6242</v>
      </c>
      <c r="D755" s="63">
        <f>12.6323 * CHOOSE(CONTROL!$C$22, $C$13, 100%, $E$13)</f>
        <v>12.632300000000001</v>
      </c>
      <c r="E755" s="64">
        <f>14.6145 * CHOOSE(CONTROL!$C$22, $C$13, 100%, $E$13)</f>
        <v>14.6145</v>
      </c>
      <c r="F755" s="64">
        <f>14.6145 * CHOOSE(CONTROL!$C$22, $C$13, 100%, $E$13)</f>
        <v>14.6145</v>
      </c>
      <c r="G755" s="64">
        <f>14.6243 * CHOOSE(CONTROL!$C$22, $C$13, 100%, $E$13)</f>
        <v>14.6243</v>
      </c>
      <c r="H755" s="64">
        <f>24.6262* CHOOSE(CONTROL!$C$22, $C$13, 100%, $E$13)</f>
        <v>24.626200000000001</v>
      </c>
      <c r="I755" s="64">
        <f>24.636 * CHOOSE(CONTROL!$C$22, $C$13, 100%, $E$13)</f>
        <v>24.635999999999999</v>
      </c>
      <c r="J755" s="64">
        <f>14.6145 * CHOOSE(CONTROL!$C$22, $C$13, 100%, $E$13)</f>
        <v>14.6145</v>
      </c>
      <c r="K755" s="64">
        <f>14.6243 * CHOOSE(CONTROL!$C$22, $C$13, 100%, $E$13)</f>
        <v>14.6243</v>
      </c>
    </row>
    <row r="756" spans="1:11" ht="15">
      <c r="A756" s="13">
        <v>64498</v>
      </c>
      <c r="B756" s="63">
        <f>12.6309 * CHOOSE(CONTROL!$C$22, $C$13, 100%, $E$13)</f>
        <v>12.6309</v>
      </c>
      <c r="C756" s="63">
        <f>12.6309 * CHOOSE(CONTROL!$C$22, $C$13, 100%, $E$13)</f>
        <v>12.6309</v>
      </c>
      <c r="D756" s="63">
        <f>12.639 * CHOOSE(CONTROL!$C$22, $C$13, 100%, $E$13)</f>
        <v>12.638999999999999</v>
      </c>
      <c r="E756" s="64">
        <f>14.381 * CHOOSE(CONTROL!$C$22, $C$13, 100%, $E$13)</f>
        <v>14.381</v>
      </c>
      <c r="F756" s="64">
        <f>14.381 * CHOOSE(CONTROL!$C$22, $C$13, 100%, $E$13)</f>
        <v>14.381</v>
      </c>
      <c r="G756" s="64">
        <f>14.3908 * CHOOSE(CONTROL!$C$22, $C$13, 100%, $E$13)</f>
        <v>14.3908</v>
      </c>
      <c r="H756" s="64">
        <f>24.6775* CHOOSE(CONTROL!$C$22, $C$13, 100%, $E$13)</f>
        <v>24.677499999999998</v>
      </c>
      <c r="I756" s="64">
        <f>24.6873 * CHOOSE(CONTROL!$C$22, $C$13, 100%, $E$13)</f>
        <v>24.6873</v>
      </c>
      <c r="J756" s="64">
        <f>14.381 * CHOOSE(CONTROL!$C$22, $C$13, 100%, $E$13)</f>
        <v>14.381</v>
      </c>
      <c r="K756" s="64">
        <f>14.3908 * CHOOSE(CONTROL!$C$22, $C$13, 100%, $E$13)</f>
        <v>14.3908</v>
      </c>
    </row>
    <row r="757" spans="1:11" ht="15">
      <c r="A757" s="13">
        <v>64529</v>
      </c>
      <c r="B757" s="63">
        <f>12.6278 * CHOOSE(CONTROL!$C$22, $C$13, 100%, $E$13)</f>
        <v>12.627800000000001</v>
      </c>
      <c r="C757" s="63">
        <f>12.6278 * CHOOSE(CONTROL!$C$22, $C$13, 100%, $E$13)</f>
        <v>12.627800000000001</v>
      </c>
      <c r="D757" s="63">
        <f>12.6359 * CHOOSE(CONTROL!$C$22, $C$13, 100%, $E$13)</f>
        <v>12.635899999999999</v>
      </c>
      <c r="E757" s="64">
        <f>14.3524 * CHOOSE(CONTROL!$C$22, $C$13, 100%, $E$13)</f>
        <v>14.352399999999999</v>
      </c>
      <c r="F757" s="64">
        <f>14.3524 * CHOOSE(CONTROL!$C$22, $C$13, 100%, $E$13)</f>
        <v>14.352399999999999</v>
      </c>
      <c r="G757" s="64">
        <f>14.3622 * CHOOSE(CONTROL!$C$22, $C$13, 100%, $E$13)</f>
        <v>14.3622</v>
      </c>
      <c r="H757" s="64">
        <f>24.7289* CHOOSE(CONTROL!$C$22, $C$13, 100%, $E$13)</f>
        <v>24.728899999999999</v>
      </c>
      <c r="I757" s="64">
        <f>24.7387 * CHOOSE(CONTROL!$C$22, $C$13, 100%, $E$13)</f>
        <v>24.738700000000001</v>
      </c>
      <c r="J757" s="64">
        <f>14.3524 * CHOOSE(CONTROL!$C$22, $C$13, 100%, $E$13)</f>
        <v>14.352399999999999</v>
      </c>
      <c r="K757" s="64">
        <f>14.3622 * CHOOSE(CONTROL!$C$22, $C$13, 100%, $E$13)</f>
        <v>14.3622</v>
      </c>
    </row>
    <row r="758" spans="1:11" ht="15">
      <c r="A758" s="13">
        <v>64559</v>
      </c>
      <c r="B758" s="63">
        <f>12.6507 * CHOOSE(CONTROL!$C$22, $C$13, 100%, $E$13)</f>
        <v>12.650700000000001</v>
      </c>
      <c r="C758" s="63">
        <f>12.6507 * CHOOSE(CONTROL!$C$22, $C$13, 100%, $E$13)</f>
        <v>12.650700000000001</v>
      </c>
      <c r="D758" s="63">
        <f>12.6507 * CHOOSE(CONTROL!$C$22, $C$13, 100%, $E$13)</f>
        <v>12.650700000000001</v>
      </c>
      <c r="E758" s="64">
        <f>14.4448 * CHOOSE(CONTROL!$C$22, $C$13, 100%, $E$13)</f>
        <v>14.444800000000001</v>
      </c>
      <c r="F758" s="64">
        <f>14.4448 * CHOOSE(CONTROL!$C$22, $C$13, 100%, $E$13)</f>
        <v>14.444800000000001</v>
      </c>
      <c r="G758" s="64">
        <f>14.4449 * CHOOSE(CONTROL!$C$22, $C$13, 100%, $E$13)</f>
        <v>14.444900000000001</v>
      </c>
      <c r="H758" s="64">
        <f>24.7804* CHOOSE(CONTROL!$C$22, $C$13, 100%, $E$13)</f>
        <v>24.7804</v>
      </c>
      <c r="I758" s="64">
        <f>24.7805 * CHOOSE(CONTROL!$C$22, $C$13, 100%, $E$13)</f>
        <v>24.7805</v>
      </c>
      <c r="J758" s="64">
        <f>14.4448 * CHOOSE(CONTROL!$C$22, $C$13, 100%, $E$13)</f>
        <v>14.444800000000001</v>
      </c>
      <c r="K758" s="64">
        <f>14.4449 * CHOOSE(CONTROL!$C$22, $C$13, 100%, $E$13)</f>
        <v>14.444900000000001</v>
      </c>
    </row>
    <row r="759" spans="1:11" ht="15">
      <c r="A759" s="13">
        <v>64590</v>
      </c>
      <c r="B759" s="63">
        <f>12.6538 * CHOOSE(CONTROL!$C$22, $C$13, 100%, $E$13)</f>
        <v>12.6538</v>
      </c>
      <c r="C759" s="63">
        <f>12.6538 * CHOOSE(CONTROL!$C$22, $C$13, 100%, $E$13)</f>
        <v>12.6538</v>
      </c>
      <c r="D759" s="63">
        <f>12.6538 * CHOOSE(CONTROL!$C$22, $C$13, 100%, $E$13)</f>
        <v>12.6538</v>
      </c>
      <c r="E759" s="64">
        <f>14.4999 * CHOOSE(CONTROL!$C$22, $C$13, 100%, $E$13)</f>
        <v>14.4999</v>
      </c>
      <c r="F759" s="64">
        <f>14.4999 * CHOOSE(CONTROL!$C$22, $C$13, 100%, $E$13)</f>
        <v>14.4999</v>
      </c>
      <c r="G759" s="64">
        <f>14.5 * CHOOSE(CONTROL!$C$22, $C$13, 100%, $E$13)</f>
        <v>14.5</v>
      </c>
      <c r="H759" s="64">
        <f>24.832* CHOOSE(CONTROL!$C$22, $C$13, 100%, $E$13)</f>
        <v>24.832000000000001</v>
      </c>
      <c r="I759" s="64">
        <f>24.8321 * CHOOSE(CONTROL!$C$22, $C$13, 100%, $E$13)</f>
        <v>24.832100000000001</v>
      </c>
      <c r="J759" s="64">
        <f>14.4999 * CHOOSE(CONTROL!$C$22, $C$13, 100%, $E$13)</f>
        <v>14.4999</v>
      </c>
      <c r="K759" s="64">
        <f>14.5 * CHOOSE(CONTROL!$C$22, $C$13, 100%, $E$13)</f>
        <v>14.5</v>
      </c>
    </row>
    <row r="760" spans="1:11" ht="15">
      <c r="A760" s="13">
        <v>64620</v>
      </c>
      <c r="B760" s="63">
        <f>12.6538 * CHOOSE(CONTROL!$C$22, $C$13, 100%, $E$13)</f>
        <v>12.6538</v>
      </c>
      <c r="C760" s="63">
        <f>12.6538 * CHOOSE(CONTROL!$C$22, $C$13, 100%, $E$13)</f>
        <v>12.6538</v>
      </c>
      <c r="D760" s="63">
        <f>12.6538 * CHOOSE(CONTROL!$C$22, $C$13, 100%, $E$13)</f>
        <v>12.6538</v>
      </c>
      <c r="E760" s="64">
        <f>14.3676 * CHOOSE(CONTROL!$C$22, $C$13, 100%, $E$13)</f>
        <v>14.367599999999999</v>
      </c>
      <c r="F760" s="64">
        <f>14.3676 * CHOOSE(CONTROL!$C$22, $C$13, 100%, $E$13)</f>
        <v>14.367599999999999</v>
      </c>
      <c r="G760" s="64">
        <f>14.3677 * CHOOSE(CONTROL!$C$22, $C$13, 100%, $E$13)</f>
        <v>14.367699999999999</v>
      </c>
      <c r="H760" s="64">
        <f>24.8838* CHOOSE(CONTROL!$C$22, $C$13, 100%, $E$13)</f>
        <v>24.883800000000001</v>
      </c>
      <c r="I760" s="64">
        <f>24.8838 * CHOOSE(CONTROL!$C$22, $C$13, 100%, $E$13)</f>
        <v>24.883800000000001</v>
      </c>
      <c r="J760" s="64">
        <f>14.3676 * CHOOSE(CONTROL!$C$22, $C$13, 100%, $E$13)</f>
        <v>14.367599999999999</v>
      </c>
      <c r="K760" s="64">
        <f>14.3677 * CHOOSE(CONTROL!$C$22, $C$13, 100%, $E$13)</f>
        <v>14.367699999999999</v>
      </c>
    </row>
    <row r="761" spans="1:11" ht="15">
      <c r="A761" s="13">
        <v>64651</v>
      </c>
      <c r="B761" s="63">
        <f>12.6653 * CHOOSE(CONTROL!$C$22, $C$13, 100%, $E$13)</f>
        <v>12.6653</v>
      </c>
      <c r="C761" s="63">
        <f>12.6653 * CHOOSE(CONTROL!$C$22, $C$13, 100%, $E$13)</f>
        <v>12.6653</v>
      </c>
      <c r="D761" s="63">
        <f>12.6653 * CHOOSE(CONTROL!$C$22, $C$13, 100%, $E$13)</f>
        <v>12.6653</v>
      </c>
      <c r="E761" s="64">
        <f>14.4846 * CHOOSE(CONTROL!$C$22, $C$13, 100%, $E$13)</f>
        <v>14.4846</v>
      </c>
      <c r="F761" s="64">
        <f>14.4846 * CHOOSE(CONTROL!$C$22, $C$13, 100%, $E$13)</f>
        <v>14.4846</v>
      </c>
      <c r="G761" s="64">
        <f>14.4847 * CHOOSE(CONTROL!$C$22, $C$13, 100%, $E$13)</f>
        <v>14.4847</v>
      </c>
      <c r="H761" s="64">
        <f>24.7665* CHOOSE(CONTROL!$C$22, $C$13, 100%, $E$13)</f>
        <v>24.766500000000001</v>
      </c>
      <c r="I761" s="64">
        <f>24.7665 * CHOOSE(CONTROL!$C$22, $C$13, 100%, $E$13)</f>
        <v>24.766500000000001</v>
      </c>
      <c r="J761" s="64">
        <f>14.4846 * CHOOSE(CONTROL!$C$22, $C$13, 100%, $E$13)</f>
        <v>14.4846</v>
      </c>
      <c r="K761" s="64">
        <f>14.4847 * CHOOSE(CONTROL!$C$22, $C$13, 100%, $E$13)</f>
        <v>14.4847</v>
      </c>
    </row>
    <row r="762" spans="1:11" ht="15">
      <c r="A762" s="13">
        <v>64682</v>
      </c>
      <c r="B762" s="63">
        <f>12.6623 * CHOOSE(CONTROL!$C$22, $C$13, 100%, $E$13)</f>
        <v>12.6623</v>
      </c>
      <c r="C762" s="63">
        <f>12.6623 * CHOOSE(CONTROL!$C$22, $C$13, 100%, $E$13)</f>
        <v>12.6623</v>
      </c>
      <c r="D762" s="63">
        <f>12.6623 * CHOOSE(CONTROL!$C$22, $C$13, 100%, $E$13)</f>
        <v>12.6623</v>
      </c>
      <c r="E762" s="64">
        <f>14.2275 * CHOOSE(CONTROL!$C$22, $C$13, 100%, $E$13)</f>
        <v>14.227499999999999</v>
      </c>
      <c r="F762" s="64">
        <f>14.2275 * CHOOSE(CONTROL!$C$22, $C$13, 100%, $E$13)</f>
        <v>14.227499999999999</v>
      </c>
      <c r="G762" s="64">
        <f>14.2276 * CHOOSE(CONTROL!$C$22, $C$13, 100%, $E$13)</f>
        <v>14.227600000000001</v>
      </c>
      <c r="H762" s="64">
        <f>24.8181* CHOOSE(CONTROL!$C$22, $C$13, 100%, $E$13)</f>
        <v>24.818100000000001</v>
      </c>
      <c r="I762" s="64">
        <f>24.8181 * CHOOSE(CONTROL!$C$22, $C$13, 100%, $E$13)</f>
        <v>24.818100000000001</v>
      </c>
      <c r="J762" s="64">
        <f>14.2275 * CHOOSE(CONTROL!$C$22, $C$13, 100%, $E$13)</f>
        <v>14.227499999999999</v>
      </c>
      <c r="K762" s="64">
        <f>14.2276 * CHOOSE(CONTROL!$C$22, $C$13, 100%, $E$13)</f>
        <v>14.227600000000001</v>
      </c>
    </row>
    <row r="763" spans="1:11" ht="15">
      <c r="A763" s="13">
        <v>64710</v>
      </c>
      <c r="B763" s="63">
        <f>12.6592 * CHOOSE(CONTROL!$C$22, $C$13, 100%, $E$13)</f>
        <v>12.6592</v>
      </c>
      <c r="C763" s="63">
        <f>12.6592 * CHOOSE(CONTROL!$C$22, $C$13, 100%, $E$13)</f>
        <v>12.6592</v>
      </c>
      <c r="D763" s="63">
        <f>12.6592 * CHOOSE(CONTROL!$C$22, $C$13, 100%, $E$13)</f>
        <v>12.6592</v>
      </c>
      <c r="E763" s="64">
        <f>14.4264 * CHOOSE(CONTROL!$C$22, $C$13, 100%, $E$13)</f>
        <v>14.426399999999999</v>
      </c>
      <c r="F763" s="64">
        <f>14.4264 * CHOOSE(CONTROL!$C$22, $C$13, 100%, $E$13)</f>
        <v>14.426399999999999</v>
      </c>
      <c r="G763" s="64">
        <f>14.4265 * CHOOSE(CONTROL!$C$22, $C$13, 100%, $E$13)</f>
        <v>14.426500000000001</v>
      </c>
      <c r="H763" s="64">
        <f>24.8698* CHOOSE(CONTROL!$C$22, $C$13, 100%, $E$13)</f>
        <v>24.869800000000001</v>
      </c>
      <c r="I763" s="64">
        <f>24.8698 * CHOOSE(CONTROL!$C$22, $C$13, 100%, $E$13)</f>
        <v>24.869800000000001</v>
      </c>
      <c r="J763" s="64">
        <f>14.4264 * CHOOSE(CONTROL!$C$22, $C$13, 100%, $E$13)</f>
        <v>14.426399999999999</v>
      </c>
      <c r="K763" s="64">
        <f>14.4265 * CHOOSE(CONTROL!$C$22, $C$13, 100%, $E$13)</f>
        <v>14.426500000000001</v>
      </c>
    </row>
    <row r="764" spans="1:11" ht="15">
      <c r="A764" s="13">
        <v>64741</v>
      </c>
      <c r="B764" s="63">
        <f>12.6642 * CHOOSE(CONTROL!$C$22, $C$13, 100%, $E$13)</f>
        <v>12.664199999999999</v>
      </c>
      <c r="C764" s="63">
        <f>12.6642 * CHOOSE(CONTROL!$C$22, $C$13, 100%, $E$13)</f>
        <v>12.664199999999999</v>
      </c>
      <c r="D764" s="63">
        <f>12.6642 * CHOOSE(CONTROL!$C$22, $C$13, 100%, $E$13)</f>
        <v>12.664199999999999</v>
      </c>
      <c r="E764" s="64">
        <f>14.638 * CHOOSE(CONTROL!$C$22, $C$13, 100%, $E$13)</f>
        <v>14.638</v>
      </c>
      <c r="F764" s="64">
        <f>14.638 * CHOOSE(CONTROL!$C$22, $C$13, 100%, $E$13)</f>
        <v>14.638</v>
      </c>
      <c r="G764" s="64">
        <f>14.6381 * CHOOSE(CONTROL!$C$22, $C$13, 100%, $E$13)</f>
        <v>14.6381</v>
      </c>
      <c r="H764" s="64">
        <f>24.9216* CHOOSE(CONTROL!$C$22, $C$13, 100%, $E$13)</f>
        <v>24.921600000000002</v>
      </c>
      <c r="I764" s="64">
        <f>24.9217 * CHOOSE(CONTROL!$C$22, $C$13, 100%, $E$13)</f>
        <v>24.921700000000001</v>
      </c>
      <c r="J764" s="64">
        <f>14.638 * CHOOSE(CONTROL!$C$22, $C$13, 100%, $E$13)</f>
        <v>14.638</v>
      </c>
      <c r="K764" s="64">
        <f>14.6381 * CHOOSE(CONTROL!$C$22, $C$13, 100%, $E$13)</f>
        <v>14.6381</v>
      </c>
    </row>
    <row r="765" spans="1:11" ht="15">
      <c r="A765" s="13">
        <v>64771</v>
      </c>
      <c r="B765" s="63">
        <f>12.6642 * CHOOSE(CONTROL!$C$22, $C$13, 100%, $E$13)</f>
        <v>12.664199999999999</v>
      </c>
      <c r="C765" s="63">
        <f>12.6642 * CHOOSE(CONTROL!$C$22, $C$13, 100%, $E$13)</f>
        <v>12.664199999999999</v>
      </c>
      <c r="D765" s="63">
        <f>12.6723 * CHOOSE(CONTROL!$C$22, $C$13, 100%, $E$13)</f>
        <v>12.6723</v>
      </c>
      <c r="E765" s="64">
        <f>14.719 * CHOOSE(CONTROL!$C$22, $C$13, 100%, $E$13)</f>
        <v>14.718999999999999</v>
      </c>
      <c r="F765" s="64">
        <f>14.719 * CHOOSE(CONTROL!$C$22, $C$13, 100%, $E$13)</f>
        <v>14.718999999999999</v>
      </c>
      <c r="G765" s="64">
        <f>14.7288 * CHOOSE(CONTROL!$C$22, $C$13, 100%, $E$13)</f>
        <v>14.7288</v>
      </c>
      <c r="H765" s="64">
        <f>24.9735* CHOOSE(CONTROL!$C$22, $C$13, 100%, $E$13)</f>
        <v>24.973500000000001</v>
      </c>
      <c r="I765" s="64">
        <f>24.9833 * CHOOSE(CONTROL!$C$22, $C$13, 100%, $E$13)</f>
        <v>24.9833</v>
      </c>
      <c r="J765" s="64">
        <f>14.719 * CHOOSE(CONTROL!$C$22, $C$13, 100%, $E$13)</f>
        <v>14.718999999999999</v>
      </c>
      <c r="K765" s="64">
        <f>14.7288 * CHOOSE(CONTROL!$C$22, $C$13, 100%, $E$13)</f>
        <v>14.7288</v>
      </c>
    </row>
    <row r="766" spans="1:11" ht="15">
      <c r="A766" s="13">
        <v>64802</v>
      </c>
      <c r="B766" s="63">
        <f>12.6702 * CHOOSE(CONTROL!$C$22, $C$13, 100%, $E$13)</f>
        <v>12.670199999999999</v>
      </c>
      <c r="C766" s="63">
        <f>12.6702 * CHOOSE(CONTROL!$C$22, $C$13, 100%, $E$13)</f>
        <v>12.670199999999999</v>
      </c>
      <c r="D766" s="63">
        <f>12.6783 * CHOOSE(CONTROL!$C$22, $C$13, 100%, $E$13)</f>
        <v>12.6783</v>
      </c>
      <c r="E766" s="64">
        <f>14.6423 * CHOOSE(CONTROL!$C$22, $C$13, 100%, $E$13)</f>
        <v>14.642300000000001</v>
      </c>
      <c r="F766" s="64">
        <f>14.6423 * CHOOSE(CONTROL!$C$22, $C$13, 100%, $E$13)</f>
        <v>14.642300000000001</v>
      </c>
      <c r="G766" s="64">
        <f>14.6521 * CHOOSE(CONTROL!$C$22, $C$13, 100%, $E$13)</f>
        <v>14.652100000000001</v>
      </c>
      <c r="H766" s="64">
        <f>25.0255* CHOOSE(CONTROL!$C$22, $C$13, 100%, $E$13)</f>
        <v>25.025500000000001</v>
      </c>
      <c r="I766" s="64">
        <f>25.0353 * CHOOSE(CONTROL!$C$22, $C$13, 100%, $E$13)</f>
        <v>25.035299999999999</v>
      </c>
      <c r="J766" s="64">
        <f>14.6423 * CHOOSE(CONTROL!$C$22, $C$13, 100%, $E$13)</f>
        <v>14.642300000000001</v>
      </c>
      <c r="K766" s="64">
        <f>14.6521 * CHOOSE(CONTROL!$C$22, $C$13, 100%, $E$13)</f>
        <v>14.652100000000001</v>
      </c>
    </row>
    <row r="767" spans="1:11" ht="15">
      <c r="A767" s="13">
        <v>64832</v>
      </c>
      <c r="B767" s="63">
        <f>12.8633 * CHOOSE(CONTROL!$C$22, $C$13, 100%, $E$13)</f>
        <v>12.863300000000001</v>
      </c>
      <c r="C767" s="63">
        <f>12.8633 * CHOOSE(CONTROL!$C$22, $C$13, 100%, $E$13)</f>
        <v>12.863300000000001</v>
      </c>
      <c r="D767" s="63">
        <f>12.8715 * CHOOSE(CONTROL!$C$22, $C$13, 100%, $E$13)</f>
        <v>12.871499999999999</v>
      </c>
      <c r="E767" s="64">
        <f>14.8762 * CHOOSE(CONTROL!$C$22, $C$13, 100%, $E$13)</f>
        <v>14.876200000000001</v>
      </c>
      <c r="F767" s="64">
        <f>14.8762 * CHOOSE(CONTROL!$C$22, $C$13, 100%, $E$13)</f>
        <v>14.876200000000001</v>
      </c>
      <c r="G767" s="64">
        <f>14.8861 * CHOOSE(CONTROL!$C$22, $C$13, 100%, $E$13)</f>
        <v>14.886100000000001</v>
      </c>
      <c r="H767" s="64">
        <f>25.0777* CHOOSE(CONTROL!$C$22, $C$13, 100%, $E$13)</f>
        <v>25.0777</v>
      </c>
      <c r="I767" s="64">
        <f>25.0875 * CHOOSE(CONTROL!$C$22, $C$13, 100%, $E$13)</f>
        <v>25.087499999999999</v>
      </c>
      <c r="J767" s="64">
        <f>14.8762 * CHOOSE(CONTROL!$C$22, $C$13, 100%, $E$13)</f>
        <v>14.876200000000001</v>
      </c>
      <c r="K767" s="64">
        <f>14.8861 * CHOOSE(CONTROL!$C$22, $C$13, 100%, $E$13)</f>
        <v>14.886100000000001</v>
      </c>
    </row>
    <row r="768" spans="1:11" ht="15">
      <c r="A768" s="13">
        <v>64863</v>
      </c>
      <c r="B768" s="63">
        <f>12.87 * CHOOSE(CONTROL!$C$22, $C$13, 100%, $E$13)</f>
        <v>12.87</v>
      </c>
      <c r="C768" s="63">
        <f>12.87 * CHOOSE(CONTROL!$C$22, $C$13, 100%, $E$13)</f>
        <v>12.87</v>
      </c>
      <c r="D768" s="63">
        <f>12.8781 * CHOOSE(CONTROL!$C$22, $C$13, 100%, $E$13)</f>
        <v>12.8781</v>
      </c>
      <c r="E768" s="64">
        <f>14.6381 * CHOOSE(CONTROL!$C$22, $C$13, 100%, $E$13)</f>
        <v>14.6381</v>
      </c>
      <c r="F768" s="64">
        <f>14.6381 * CHOOSE(CONTROL!$C$22, $C$13, 100%, $E$13)</f>
        <v>14.6381</v>
      </c>
      <c r="G768" s="64">
        <f>14.6479 * CHOOSE(CONTROL!$C$22, $C$13, 100%, $E$13)</f>
        <v>14.6479</v>
      </c>
      <c r="H768" s="64">
        <f>25.1299* CHOOSE(CONTROL!$C$22, $C$13, 100%, $E$13)</f>
        <v>25.129899999999999</v>
      </c>
      <c r="I768" s="64">
        <f>25.1397 * CHOOSE(CONTROL!$C$22, $C$13, 100%, $E$13)</f>
        <v>25.139700000000001</v>
      </c>
      <c r="J768" s="64">
        <f>14.6381 * CHOOSE(CONTROL!$C$22, $C$13, 100%, $E$13)</f>
        <v>14.6381</v>
      </c>
      <c r="K768" s="64">
        <f>14.6479 * CHOOSE(CONTROL!$C$22, $C$13, 100%, $E$13)</f>
        <v>14.6479</v>
      </c>
    </row>
    <row r="769" spans="1:11" ht="15">
      <c r="A769" s="13">
        <v>64894</v>
      </c>
      <c r="B769" s="63">
        <f>12.867 * CHOOSE(CONTROL!$C$22, $C$13, 100%, $E$13)</f>
        <v>12.867000000000001</v>
      </c>
      <c r="C769" s="63">
        <f>12.867 * CHOOSE(CONTROL!$C$22, $C$13, 100%, $E$13)</f>
        <v>12.867000000000001</v>
      </c>
      <c r="D769" s="63">
        <f>12.8751 * CHOOSE(CONTROL!$C$22, $C$13, 100%, $E$13)</f>
        <v>12.8751</v>
      </c>
      <c r="E769" s="64">
        <f>14.609 * CHOOSE(CONTROL!$C$22, $C$13, 100%, $E$13)</f>
        <v>14.609</v>
      </c>
      <c r="F769" s="64">
        <f>14.609 * CHOOSE(CONTROL!$C$22, $C$13, 100%, $E$13)</f>
        <v>14.609</v>
      </c>
      <c r="G769" s="64">
        <f>14.6188 * CHOOSE(CONTROL!$C$22, $C$13, 100%, $E$13)</f>
        <v>14.6188</v>
      </c>
      <c r="H769" s="64">
        <f>25.1823* CHOOSE(CONTROL!$C$22, $C$13, 100%, $E$13)</f>
        <v>25.182300000000001</v>
      </c>
      <c r="I769" s="64">
        <f>25.1921 * CHOOSE(CONTROL!$C$22, $C$13, 100%, $E$13)</f>
        <v>25.1921</v>
      </c>
      <c r="J769" s="64">
        <f>14.609 * CHOOSE(CONTROL!$C$22, $C$13, 100%, $E$13)</f>
        <v>14.609</v>
      </c>
      <c r="K769" s="64">
        <f>14.6188 * CHOOSE(CONTROL!$C$22, $C$13, 100%, $E$13)</f>
        <v>14.6188</v>
      </c>
    </row>
    <row r="770" spans="1:11" ht="15">
      <c r="A770" s="13">
        <v>64924</v>
      </c>
      <c r="B770" s="63">
        <f>12.8907 * CHOOSE(CONTROL!$C$22, $C$13, 100%, $E$13)</f>
        <v>12.890700000000001</v>
      </c>
      <c r="C770" s="63">
        <f>12.8907 * CHOOSE(CONTROL!$C$22, $C$13, 100%, $E$13)</f>
        <v>12.890700000000001</v>
      </c>
      <c r="D770" s="63">
        <f>12.8907 * CHOOSE(CONTROL!$C$22, $C$13, 100%, $E$13)</f>
        <v>12.890700000000001</v>
      </c>
      <c r="E770" s="64">
        <f>14.7035 * CHOOSE(CONTROL!$C$22, $C$13, 100%, $E$13)</f>
        <v>14.7035</v>
      </c>
      <c r="F770" s="64">
        <f>14.7035 * CHOOSE(CONTROL!$C$22, $C$13, 100%, $E$13)</f>
        <v>14.7035</v>
      </c>
      <c r="G770" s="64">
        <f>14.7036 * CHOOSE(CONTROL!$C$22, $C$13, 100%, $E$13)</f>
        <v>14.7036</v>
      </c>
      <c r="H770" s="64">
        <f>25.2347* CHOOSE(CONTROL!$C$22, $C$13, 100%, $E$13)</f>
        <v>25.2347</v>
      </c>
      <c r="I770" s="64">
        <f>25.2348 * CHOOSE(CONTROL!$C$22, $C$13, 100%, $E$13)</f>
        <v>25.2348</v>
      </c>
      <c r="J770" s="64">
        <f>14.7035 * CHOOSE(CONTROL!$C$22, $C$13, 100%, $E$13)</f>
        <v>14.7035</v>
      </c>
      <c r="K770" s="64">
        <f>14.7036 * CHOOSE(CONTROL!$C$22, $C$13, 100%, $E$13)</f>
        <v>14.7036</v>
      </c>
    </row>
    <row r="771" spans="1:11" ht="15">
      <c r="A771" s="13">
        <v>64955</v>
      </c>
      <c r="B771" s="63">
        <f>12.8937 * CHOOSE(CONTROL!$C$22, $C$13, 100%, $E$13)</f>
        <v>12.893700000000001</v>
      </c>
      <c r="C771" s="63">
        <f>12.8937 * CHOOSE(CONTROL!$C$22, $C$13, 100%, $E$13)</f>
        <v>12.893700000000001</v>
      </c>
      <c r="D771" s="63">
        <f>12.8937 * CHOOSE(CONTROL!$C$22, $C$13, 100%, $E$13)</f>
        <v>12.893700000000001</v>
      </c>
      <c r="E771" s="64">
        <f>14.7596 * CHOOSE(CONTROL!$C$22, $C$13, 100%, $E$13)</f>
        <v>14.759600000000001</v>
      </c>
      <c r="F771" s="64">
        <f>14.7596 * CHOOSE(CONTROL!$C$22, $C$13, 100%, $E$13)</f>
        <v>14.759600000000001</v>
      </c>
      <c r="G771" s="64">
        <f>14.7596 * CHOOSE(CONTROL!$C$22, $C$13, 100%, $E$13)</f>
        <v>14.759600000000001</v>
      </c>
      <c r="H771" s="64">
        <f>25.2873* CHOOSE(CONTROL!$C$22, $C$13, 100%, $E$13)</f>
        <v>25.287299999999998</v>
      </c>
      <c r="I771" s="64">
        <f>25.2874 * CHOOSE(CONTROL!$C$22, $C$13, 100%, $E$13)</f>
        <v>25.287400000000002</v>
      </c>
      <c r="J771" s="64">
        <f>14.7596 * CHOOSE(CONTROL!$C$22, $C$13, 100%, $E$13)</f>
        <v>14.759600000000001</v>
      </c>
      <c r="K771" s="64">
        <f>14.7596 * CHOOSE(CONTROL!$C$22, $C$13, 100%, $E$13)</f>
        <v>14.759600000000001</v>
      </c>
    </row>
    <row r="772" spans="1:11" ht="15">
      <c r="A772" s="13">
        <v>64985</v>
      </c>
      <c r="B772" s="63">
        <f>12.8937 * CHOOSE(CONTROL!$C$22, $C$13, 100%, $E$13)</f>
        <v>12.893700000000001</v>
      </c>
      <c r="C772" s="63">
        <f>12.8937 * CHOOSE(CONTROL!$C$22, $C$13, 100%, $E$13)</f>
        <v>12.893700000000001</v>
      </c>
      <c r="D772" s="63">
        <f>12.8937 * CHOOSE(CONTROL!$C$22, $C$13, 100%, $E$13)</f>
        <v>12.893700000000001</v>
      </c>
      <c r="E772" s="64">
        <f>14.6246 * CHOOSE(CONTROL!$C$22, $C$13, 100%, $E$13)</f>
        <v>14.624599999999999</v>
      </c>
      <c r="F772" s="64">
        <f>14.6246 * CHOOSE(CONTROL!$C$22, $C$13, 100%, $E$13)</f>
        <v>14.624599999999999</v>
      </c>
      <c r="G772" s="64">
        <f>14.6247 * CHOOSE(CONTROL!$C$22, $C$13, 100%, $E$13)</f>
        <v>14.624700000000001</v>
      </c>
      <c r="H772" s="64">
        <f>25.34* CHOOSE(CONTROL!$C$22, $C$13, 100%, $E$13)</f>
        <v>25.34</v>
      </c>
      <c r="I772" s="64">
        <f>25.3401 * CHOOSE(CONTROL!$C$22, $C$13, 100%, $E$13)</f>
        <v>25.3401</v>
      </c>
      <c r="J772" s="64">
        <f>14.6246 * CHOOSE(CONTROL!$C$22, $C$13, 100%, $E$13)</f>
        <v>14.624599999999999</v>
      </c>
      <c r="K772" s="64">
        <f>14.6247 * CHOOSE(CONTROL!$C$22, $C$13, 100%, $E$13)</f>
        <v>14.624700000000001</v>
      </c>
    </row>
    <row r="773" spans="1:11" ht="15">
      <c r="A773" s="13">
        <v>65016</v>
      </c>
      <c r="B773" s="63">
        <f>12.9009 * CHOOSE(CONTROL!$C$22, $C$13, 100%, $E$13)</f>
        <v>12.9009</v>
      </c>
      <c r="C773" s="63">
        <f>12.9009 * CHOOSE(CONTROL!$C$22, $C$13, 100%, $E$13)</f>
        <v>12.9009</v>
      </c>
      <c r="D773" s="63">
        <f>12.9009 * CHOOSE(CONTROL!$C$22, $C$13, 100%, $E$13)</f>
        <v>12.9009</v>
      </c>
      <c r="E773" s="64">
        <f>14.7393 * CHOOSE(CONTROL!$C$22, $C$13, 100%, $E$13)</f>
        <v>14.7393</v>
      </c>
      <c r="F773" s="64">
        <f>14.7393 * CHOOSE(CONTROL!$C$22, $C$13, 100%, $E$13)</f>
        <v>14.7393</v>
      </c>
      <c r="G773" s="64">
        <f>14.7394 * CHOOSE(CONTROL!$C$22, $C$13, 100%, $E$13)</f>
        <v>14.7394</v>
      </c>
      <c r="H773" s="64">
        <f>25.2123* CHOOSE(CONTROL!$C$22, $C$13, 100%, $E$13)</f>
        <v>25.212299999999999</v>
      </c>
      <c r="I773" s="64">
        <f>25.2124 * CHOOSE(CONTROL!$C$22, $C$13, 100%, $E$13)</f>
        <v>25.212399999999999</v>
      </c>
      <c r="J773" s="64">
        <f>14.7393 * CHOOSE(CONTROL!$C$22, $C$13, 100%, $E$13)</f>
        <v>14.7393</v>
      </c>
      <c r="K773" s="64">
        <f>14.7394 * CHOOSE(CONTROL!$C$22, $C$13, 100%, $E$13)</f>
        <v>14.7394</v>
      </c>
    </row>
    <row r="774" spans="1:11" ht="15">
      <c r="A774" s="13">
        <v>65047</v>
      </c>
      <c r="B774" s="63">
        <f>12.8978 * CHOOSE(CONTROL!$C$22, $C$13, 100%, $E$13)</f>
        <v>12.8978</v>
      </c>
      <c r="C774" s="63">
        <f>12.8978 * CHOOSE(CONTROL!$C$22, $C$13, 100%, $E$13)</f>
        <v>12.8978</v>
      </c>
      <c r="D774" s="63">
        <f>12.8978 * CHOOSE(CONTROL!$C$22, $C$13, 100%, $E$13)</f>
        <v>12.8978</v>
      </c>
      <c r="E774" s="64">
        <f>14.4773 * CHOOSE(CONTROL!$C$22, $C$13, 100%, $E$13)</f>
        <v>14.4773</v>
      </c>
      <c r="F774" s="64">
        <f>14.4773 * CHOOSE(CONTROL!$C$22, $C$13, 100%, $E$13)</f>
        <v>14.4773</v>
      </c>
      <c r="G774" s="64">
        <f>14.4774 * CHOOSE(CONTROL!$C$22, $C$13, 100%, $E$13)</f>
        <v>14.477399999999999</v>
      </c>
      <c r="H774" s="64">
        <f>25.2649* CHOOSE(CONTROL!$C$22, $C$13, 100%, $E$13)</f>
        <v>25.264900000000001</v>
      </c>
      <c r="I774" s="64">
        <f>25.265 * CHOOSE(CONTROL!$C$22, $C$13, 100%, $E$13)</f>
        <v>25.265000000000001</v>
      </c>
      <c r="J774" s="64">
        <f>14.4773 * CHOOSE(CONTROL!$C$22, $C$13, 100%, $E$13)</f>
        <v>14.4773</v>
      </c>
      <c r="K774" s="64">
        <f>14.4774 * CHOOSE(CONTROL!$C$22, $C$13, 100%, $E$13)</f>
        <v>14.477399999999999</v>
      </c>
    </row>
    <row r="775" spans="1:11" ht="15">
      <c r="A775" s="13">
        <v>65075</v>
      </c>
      <c r="B775" s="63">
        <f>12.8948 * CHOOSE(CONTROL!$C$22, $C$13, 100%, $E$13)</f>
        <v>12.8948</v>
      </c>
      <c r="C775" s="63">
        <f>12.8948 * CHOOSE(CONTROL!$C$22, $C$13, 100%, $E$13)</f>
        <v>12.8948</v>
      </c>
      <c r="D775" s="63">
        <f>12.8948 * CHOOSE(CONTROL!$C$22, $C$13, 100%, $E$13)</f>
        <v>12.8948</v>
      </c>
      <c r="E775" s="64">
        <f>14.6801 * CHOOSE(CONTROL!$C$22, $C$13, 100%, $E$13)</f>
        <v>14.680099999999999</v>
      </c>
      <c r="F775" s="64">
        <f>14.6801 * CHOOSE(CONTROL!$C$22, $C$13, 100%, $E$13)</f>
        <v>14.680099999999999</v>
      </c>
      <c r="G775" s="64">
        <f>14.6802 * CHOOSE(CONTROL!$C$22, $C$13, 100%, $E$13)</f>
        <v>14.680199999999999</v>
      </c>
      <c r="H775" s="64">
        <f>25.3175* CHOOSE(CONTROL!$C$22, $C$13, 100%, $E$13)</f>
        <v>25.317499999999999</v>
      </c>
      <c r="I775" s="64">
        <f>25.3176 * CHOOSE(CONTROL!$C$22, $C$13, 100%, $E$13)</f>
        <v>25.317599999999999</v>
      </c>
      <c r="J775" s="64">
        <f>14.6801 * CHOOSE(CONTROL!$C$22, $C$13, 100%, $E$13)</f>
        <v>14.680099999999999</v>
      </c>
      <c r="K775" s="64">
        <f>14.6802 * CHOOSE(CONTROL!$C$22, $C$13, 100%, $E$13)</f>
        <v>14.680199999999999</v>
      </c>
    </row>
    <row r="776" spans="1:11" ht="15">
      <c r="A776" s="13">
        <v>65106</v>
      </c>
      <c r="B776" s="63">
        <f>12.8999 * CHOOSE(CONTROL!$C$22, $C$13, 100%, $E$13)</f>
        <v>12.899900000000001</v>
      </c>
      <c r="C776" s="63">
        <f>12.8999 * CHOOSE(CONTROL!$C$22, $C$13, 100%, $E$13)</f>
        <v>12.899900000000001</v>
      </c>
      <c r="D776" s="63">
        <f>12.8999 * CHOOSE(CONTROL!$C$22, $C$13, 100%, $E$13)</f>
        <v>12.899900000000001</v>
      </c>
      <c r="E776" s="64">
        <f>14.8959 * CHOOSE(CONTROL!$C$22, $C$13, 100%, $E$13)</f>
        <v>14.895899999999999</v>
      </c>
      <c r="F776" s="64">
        <f>14.8959 * CHOOSE(CONTROL!$C$22, $C$13, 100%, $E$13)</f>
        <v>14.895899999999999</v>
      </c>
      <c r="G776" s="64">
        <f>14.896 * CHOOSE(CONTROL!$C$22, $C$13, 100%, $E$13)</f>
        <v>14.896000000000001</v>
      </c>
      <c r="H776" s="64">
        <f>25.3703* CHOOSE(CONTROL!$C$22, $C$13, 100%, $E$13)</f>
        <v>25.3703</v>
      </c>
      <c r="I776" s="64">
        <f>25.3703 * CHOOSE(CONTROL!$C$22, $C$13, 100%, $E$13)</f>
        <v>25.3703</v>
      </c>
      <c r="J776" s="64">
        <f>14.8959 * CHOOSE(CONTROL!$C$22, $C$13, 100%, $E$13)</f>
        <v>14.895899999999999</v>
      </c>
      <c r="K776" s="64">
        <f>14.896 * CHOOSE(CONTROL!$C$22, $C$13, 100%, $E$13)</f>
        <v>14.896000000000001</v>
      </c>
    </row>
    <row r="777" spans="1:11" ht="15">
      <c r="A777" s="13">
        <v>65136</v>
      </c>
      <c r="B777" s="63">
        <f>12.8999 * CHOOSE(CONTROL!$C$22, $C$13, 100%, $E$13)</f>
        <v>12.899900000000001</v>
      </c>
      <c r="C777" s="63">
        <f>12.8999 * CHOOSE(CONTROL!$C$22, $C$13, 100%, $E$13)</f>
        <v>12.899900000000001</v>
      </c>
      <c r="D777" s="63">
        <f>12.908 * CHOOSE(CONTROL!$C$22, $C$13, 100%, $E$13)</f>
        <v>12.907999999999999</v>
      </c>
      <c r="E777" s="64">
        <f>14.9784 * CHOOSE(CONTROL!$C$22, $C$13, 100%, $E$13)</f>
        <v>14.978400000000001</v>
      </c>
      <c r="F777" s="64">
        <f>14.9784 * CHOOSE(CONTROL!$C$22, $C$13, 100%, $E$13)</f>
        <v>14.978400000000001</v>
      </c>
      <c r="G777" s="64">
        <f>14.9882 * CHOOSE(CONTROL!$C$22, $C$13, 100%, $E$13)</f>
        <v>14.988200000000001</v>
      </c>
      <c r="H777" s="64">
        <f>25.4231* CHOOSE(CONTROL!$C$22, $C$13, 100%, $E$13)</f>
        <v>25.423100000000002</v>
      </c>
      <c r="I777" s="64">
        <f>25.4329 * CHOOSE(CONTROL!$C$22, $C$13, 100%, $E$13)</f>
        <v>25.4329</v>
      </c>
      <c r="J777" s="64">
        <f>14.9784 * CHOOSE(CONTROL!$C$22, $C$13, 100%, $E$13)</f>
        <v>14.978400000000001</v>
      </c>
      <c r="K777" s="64">
        <f>14.9882 * CHOOSE(CONTROL!$C$22, $C$13, 100%, $E$13)</f>
        <v>14.988200000000001</v>
      </c>
    </row>
    <row r="778" spans="1:11" ht="15">
      <c r="A778" s="13">
        <v>65167</v>
      </c>
      <c r="B778" s="63">
        <f>12.906 * CHOOSE(CONTROL!$C$22, $C$13, 100%, $E$13)</f>
        <v>12.906000000000001</v>
      </c>
      <c r="C778" s="63">
        <f>12.906 * CHOOSE(CONTROL!$C$22, $C$13, 100%, $E$13)</f>
        <v>12.906000000000001</v>
      </c>
      <c r="D778" s="63">
        <f>12.9141 * CHOOSE(CONTROL!$C$22, $C$13, 100%, $E$13)</f>
        <v>12.914099999999999</v>
      </c>
      <c r="E778" s="64">
        <f>14.9001 * CHOOSE(CONTROL!$C$22, $C$13, 100%, $E$13)</f>
        <v>14.9001</v>
      </c>
      <c r="F778" s="64">
        <f>14.9001 * CHOOSE(CONTROL!$C$22, $C$13, 100%, $E$13)</f>
        <v>14.9001</v>
      </c>
      <c r="G778" s="64">
        <f>14.91 * CHOOSE(CONTROL!$C$22, $C$13, 100%, $E$13)</f>
        <v>14.91</v>
      </c>
      <c r="H778" s="64">
        <f>25.4761* CHOOSE(CONTROL!$C$22, $C$13, 100%, $E$13)</f>
        <v>25.476099999999999</v>
      </c>
      <c r="I778" s="64">
        <f>25.4859 * CHOOSE(CONTROL!$C$22, $C$13, 100%, $E$13)</f>
        <v>25.485900000000001</v>
      </c>
      <c r="J778" s="64">
        <f>14.9001 * CHOOSE(CONTROL!$C$22, $C$13, 100%, $E$13)</f>
        <v>14.9001</v>
      </c>
      <c r="K778" s="64">
        <f>14.91 * CHOOSE(CONTROL!$C$22, $C$13, 100%, $E$13)</f>
        <v>14.91</v>
      </c>
    </row>
    <row r="779" spans="1:11" ht="15">
      <c r="A779" s="13">
        <v>65197</v>
      </c>
      <c r="B779" s="63">
        <f>13.1025 * CHOOSE(CONTROL!$C$22, $C$13, 100%, $E$13)</f>
        <v>13.102499999999999</v>
      </c>
      <c r="C779" s="63">
        <f>13.1025 * CHOOSE(CONTROL!$C$22, $C$13, 100%, $E$13)</f>
        <v>13.102499999999999</v>
      </c>
      <c r="D779" s="63">
        <f>13.1106 * CHOOSE(CONTROL!$C$22, $C$13, 100%, $E$13)</f>
        <v>13.1106</v>
      </c>
      <c r="E779" s="64">
        <f>15.138 * CHOOSE(CONTROL!$C$22, $C$13, 100%, $E$13)</f>
        <v>15.138</v>
      </c>
      <c r="F779" s="64">
        <f>15.138 * CHOOSE(CONTROL!$C$22, $C$13, 100%, $E$13)</f>
        <v>15.138</v>
      </c>
      <c r="G779" s="64">
        <f>15.1479 * CHOOSE(CONTROL!$C$22, $C$13, 100%, $E$13)</f>
        <v>15.1479</v>
      </c>
      <c r="H779" s="64">
        <f>25.5291* CHOOSE(CONTROL!$C$22, $C$13, 100%, $E$13)</f>
        <v>25.5291</v>
      </c>
      <c r="I779" s="64">
        <f>25.539 * CHOOSE(CONTROL!$C$22, $C$13, 100%, $E$13)</f>
        <v>25.539000000000001</v>
      </c>
      <c r="J779" s="64">
        <f>15.138 * CHOOSE(CONTROL!$C$22, $C$13, 100%, $E$13)</f>
        <v>15.138</v>
      </c>
      <c r="K779" s="64">
        <f>15.1479 * CHOOSE(CONTROL!$C$22, $C$13, 100%, $E$13)</f>
        <v>15.1479</v>
      </c>
    </row>
    <row r="780" spans="1:11" ht="15">
      <c r="A780" s="13">
        <v>65228</v>
      </c>
      <c r="B780" s="63">
        <f>13.1092 * CHOOSE(CONTROL!$C$22, $C$13, 100%, $E$13)</f>
        <v>13.1092</v>
      </c>
      <c r="C780" s="63">
        <f>13.1092 * CHOOSE(CONTROL!$C$22, $C$13, 100%, $E$13)</f>
        <v>13.1092</v>
      </c>
      <c r="D780" s="63">
        <f>13.1173 * CHOOSE(CONTROL!$C$22, $C$13, 100%, $E$13)</f>
        <v>13.1173</v>
      </c>
      <c r="E780" s="64">
        <f>14.8951 * CHOOSE(CONTROL!$C$22, $C$13, 100%, $E$13)</f>
        <v>14.895099999999999</v>
      </c>
      <c r="F780" s="64">
        <f>14.8951 * CHOOSE(CONTROL!$C$22, $C$13, 100%, $E$13)</f>
        <v>14.895099999999999</v>
      </c>
      <c r="G780" s="64">
        <f>14.905 * CHOOSE(CONTROL!$C$22, $C$13, 100%, $E$13)</f>
        <v>14.904999999999999</v>
      </c>
      <c r="H780" s="64">
        <f>25.5823* CHOOSE(CONTROL!$C$22, $C$13, 100%, $E$13)</f>
        <v>25.5823</v>
      </c>
      <c r="I780" s="64">
        <f>25.5922 * CHOOSE(CONTROL!$C$22, $C$13, 100%, $E$13)</f>
        <v>25.592199999999998</v>
      </c>
      <c r="J780" s="64">
        <f>14.8951 * CHOOSE(CONTROL!$C$22, $C$13, 100%, $E$13)</f>
        <v>14.895099999999999</v>
      </c>
      <c r="K780" s="64">
        <f>14.905 * CHOOSE(CONTROL!$C$22, $C$13, 100%, $E$13)</f>
        <v>14.904999999999999</v>
      </c>
    </row>
    <row r="781" spans="1:11" ht="15">
      <c r="A781" s="13">
        <v>65259</v>
      </c>
      <c r="B781" s="63">
        <f>13.1062 * CHOOSE(CONTROL!$C$22, $C$13, 100%, $E$13)</f>
        <v>13.106199999999999</v>
      </c>
      <c r="C781" s="63">
        <f>13.1062 * CHOOSE(CONTROL!$C$22, $C$13, 100%, $E$13)</f>
        <v>13.106199999999999</v>
      </c>
      <c r="D781" s="63">
        <f>13.1143 * CHOOSE(CONTROL!$C$22, $C$13, 100%, $E$13)</f>
        <v>13.1143</v>
      </c>
      <c r="E781" s="64">
        <f>14.8655 * CHOOSE(CONTROL!$C$22, $C$13, 100%, $E$13)</f>
        <v>14.865500000000001</v>
      </c>
      <c r="F781" s="64">
        <f>14.8655 * CHOOSE(CONTROL!$C$22, $C$13, 100%, $E$13)</f>
        <v>14.865500000000001</v>
      </c>
      <c r="G781" s="64">
        <f>14.8753 * CHOOSE(CONTROL!$C$22, $C$13, 100%, $E$13)</f>
        <v>14.875299999999999</v>
      </c>
      <c r="H781" s="64">
        <f>25.6356* CHOOSE(CONTROL!$C$22, $C$13, 100%, $E$13)</f>
        <v>25.6356</v>
      </c>
      <c r="I781" s="64">
        <f>25.6455 * CHOOSE(CONTROL!$C$22, $C$13, 100%, $E$13)</f>
        <v>25.645499999999998</v>
      </c>
      <c r="J781" s="64">
        <f>14.8655 * CHOOSE(CONTROL!$C$22, $C$13, 100%, $E$13)</f>
        <v>14.865500000000001</v>
      </c>
      <c r="K781" s="64">
        <f>14.8753 * CHOOSE(CONTROL!$C$22, $C$13, 100%, $E$13)</f>
        <v>14.875299999999999</v>
      </c>
    </row>
    <row r="782" spans="1:11" ht="15">
      <c r="A782" s="13">
        <v>65289</v>
      </c>
      <c r="B782" s="63">
        <f>13.1306 * CHOOSE(CONTROL!$C$22, $C$13, 100%, $E$13)</f>
        <v>13.130599999999999</v>
      </c>
      <c r="C782" s="63">
        <f>13.1306 * CHOOSE(CONTROL!$C$22, $C$13, 100%, $E$13)</f>
        <v>13.130599999999999</v>
      </c>
      <c r="D782" s="63">
        <f>13.1306 * CHOOSE(CONTROL!$C$22, $C$13, 100%, $E$13)</f>
        <v>13.130599999999999</v>
      </c>
      <c r="E782" s="64">
        <f>14.9621 * CHOOSE(CONTROL!$C$22, $C$13, 100%, $E$13)</f>
        <v>14.9621</v>
      </c>
      <c r="F782" s="64">
        <f>14.9621 * CHOOSE(CONTROL!$C$22, $C$13, 100%, $E$13)</f>
        <v>14.9621</v>
      </c>
      <c r="G782" s="64">
        <f>14.9622 * CHOOSE(CONTROL!$C$22, $C$13, 100%, $E$13)</f>
        <v>14.962199999999999</v>
      </c>
      <c r="H782" s="64">
        <f>25.689* CHOOSE(CONTROL!$C$22, $C$13, 100%, $E$13)</f>
        <v>25.689</v>
      </c>
      <c r="I782" s="64">
        <f>25.6891 * CHOOSE(CONTROL!$C$22, $C$13, 100%, $E$13)</f>
        <v>25.6891</v>
      </c>
      <c r="J782" s="64">
        <f>14.9621 * CHOOSE(CONTROL!$C$22, $C$13, 100%, $E$13)</f>
        <v>14.9621</v>
      </c>
      <c r="K782" s="64">
        <f>14.9622 * CHOOSE(CONTROL!$C$22, $C$13, 100%, $E$13)</f>
        <v>14.962199999999999</v>
      </c>
    </row>
    <row r="783" spans="1:11" ht="15">
      <c r="A783" s="13">
        <v>65320</v>
      </c>
      <c r="B783" s="63">
        <f>13.1336 * CHOOSE(CONTROL!$C$22, $C$13, 100%, $E$13)</f>
        <v>13.133599999999999</v>
      </c>
      <c r="C783" s="63">
        <f>13.1336 * CHOOSE(CONTROL!$C$22, $C$13, 100%, $E$13)</f>
        <v>13.133599999999999</v>
      </c>
      <c r="D783" s="63">
        <f>13.1336 * CHOOSE(CONTROL!$C$22, $C$13, 100%, $E$13)</f>
        <v>13.133599999999999</v>
      </c>
      <c r="E783" s="64">
        <f>15.0192 * CHOOSE(CONTROL!$C$22, $C$13, 100%, $E$13)</f>
        <v>15.0192</v>
      </c>
      <c r="F783" s="64">
        <f>15.0192 * CHOOSE(CONTROL!$C$22, $C$13, 100%, $E$13)</f>
        <v>15.0192</v>
      </c>
      <c r="G783" s="64">
        <f>15.0193 * CHOOSE(CONTROL!$C$22, $C$13, 100%, $E$13)</f>
        <v>15.019299999999999</v>
      </c>
      <c r="H783" s="64">
        <f>25.7426* CHOOSE(CONTROL!$C$22, $C$13, 100%, $E$13)</f>
        <v>25.742599999999999</v>
      </c>
      <c r="I783" s="64">
        <f>25.7426 * CHOOSE(CONTROL!$C$22, $C$13, 100%, $E$13)</f>
        <v>25.742599999999999</v>
      </c>
      <c r="J783" s="64">
        <f>15.0192 * CHOOSE(CONTROL!$C$22, $C$13, 100%, $E$13)</f>
        <v>15.0192</v>
      </c>
      <c r="K783" s="64">
        <f>15.0193 * CHOOSE(CONTROL!$C$22, $C$13, 100%, $E$13)</f>
        <v>15.019299999999999</v>
      </c>
    </row>
    <row r="784" spans="1:11" ht="15">
      <c r="A784" s="13">
        <v>65350</v>
      </c>
      <c r="B784" s="63">
        <f>13.1336 * CHOOSE(CONTROL!$C$22, $C$13, 100%, $E$13)</f>
        <v>13.133599999999999</v>
      </c>
      <c r="C784" s="63">
        <f>13.1336 * CHOOSE(CONTROL!$C$22, $C$13, 100%, $E$13)</f>
        <v>13.133599999999999</v>
      </c>
      <c r="D784" s="63">
        <f>13.1336 * CHOOSE(CONTROL!$C$22, $C$13, 100%, $E$13)</f>
        <v>13.133599999999999</v>
      </c>
      <c r="E784" s="64">
        <f>14.8817 * CHOOSE(CONTROL!$C$22, $C$13, 100%, $E$13)</f>
        <v>14.8817</v>
      </c>
      <c r="F784" s="64">
        <f>14.8817 * CHOOSE(CONTROL!$C$22, $C$13, 100%, $E$13)</f>
        <v>14.8817</v>
      </c>
      <c r="G784" s="64">
        <f>14.8818 * CHOOSE(CONTROL!$C$22, $C$13, 100%, $E$13)</f>
        <v>14.8818</v>
      </c>
      <c r="H784" s="64">
        <f>25.7962* CHOOSE(CONTROL!$C$22, $C$13, 100%, $E$13)</f>
        <v>25.796199999999999</v>
      </c>
      <c r="I784" s="64">
        <f>25.7963 * CHOOSE(CONTROL!$C$22, $C$13, 100%, $E$13)</f>
        <v>25.796299999999999</v>
      </c>
      <c r="J784" s="64">
        <f>14.8817 * CHOOSE(CONTROL!$C$22, $C$13, 100%, $E$13)</f>
        <v>14.8817</v>
      </c>
      <c r="K784" s="64">
        <f>14.8818 * CHOOSE(CONTROL!$C$22, $C$13, 100%, $E$13)</f>
        <v>14.8818</v>
      </c>
    </row>
    <row r="785" spans="1:11" ht="15">
      <c r="A785" s="13">
        <v>65381</v>
      </c>
      <c r="B785" s="63">
        <f>13.1365 * CHOOSE(CONTROL!$C$22, $C$13, 100%, $E$13)</f>
        <v>13.1365</v>
      </c>
      <c r="C785" s="63">
        <f>13.1365 * CHOOSE(CONTROL!$C$22, $C$13, 100%, $E$13)</f>
        <v>13.1365</v>
      </c>
      <c r="D785" s="63">
        <f>13.1365 * CHOOSE(CONTROL!$C$22, $C$13, 100%, $E$13)</f>
        <v>13.1365</v>
      </c>
      <c r="E785" s="64">
        <f>14.9941 * CHOOSE(CONTROL!$C$22, $C$13, 100%, $E$13)</f>
        <v>14.9941</v>
      </c>
      <c r="F785" s="64">
        <f>14.9941 * CHOOSE(CONTROL!$C$22, $C$13, 100%, $E$13)</f>
        <v>14.9941</v>
      </c>
      <c r="G785" s="64">
        <f>14.9941 * CHOOSE(CONTROL!$C$22, $C$13, 100%, $E$13)</f>
        <v>14.9941</v>
      </c>
      <c r="H785" s="64">
        <f>25.6582* CHOOSE(CONTROL!$C$22, $C$13, 100%, $E$13)</f>
        <v>25.658200000000001</v>
      </c>
      <c r="I785" s="64">
        <f>25.6583 * CHOOSE(CONTROL!$C$22, $C$13, 100%, $E$13)</f>
        <v>25.658300000000001</v>
      </c>
      <c r="J785" s="64">
        <f>14.9941 * CHOOSE(CONTROL!$C$22, $C$13, 100%, $E$13)</f>
        <v>14.9941</v>
      </c>
      <c r="K785" s="64">
        <f>14.9941 * CHOOSE(CONTROL!$C$22, $C$13, 100%, $E$13)</f>
        <v>14.9941</v>
      </c>
    </row>
    <row r="786" spans="1:11" ht="15">
      <c r="A786" s="13">
        <v>65412</v>
      </c>
      <c r="B786" s="63">
        <f>13.1334 * CHOOSE(CONTROL!$C$22, $C$13, 100%, $E$13)</f>
        <v>13.1334</v>
      </c>
      <c r="C786" s="63">
        <f>13.1334 * CHOOSE(CONTROL!$C$22, $C$13, 100%, $E$13)</f>
        <v>13.1334</v>
      </c>
      <c r="D786" s="63">
        <f>13.1334 * CHOOSE(CONTROL!$C$22, $C$13, 100%, $E$13)</f>
        <v>13.1334</v>
      </c>
      <c r="E786" s="64">
        <f>14.7271 * CHOOSE(CONTROL!$C$22, $C$13, 100%, $E$13)</f>
        <v>14.7271</v>
      </c>
      <c r="F786" s="64">
        <f>14.7271 * CHOOSE(CONTROL!$C$22, $C$13, 100%, $E$13)</f>
        <v>14.7271</v>
      </c>
      <c r="G786" s="64">
        <f>14.7272 * CHOOSE(CONTROL!$C$22, $C$13, 100%, $E$13)</f>
        <v>14.7272</v>
      </c>
      <c r="H786" s="64">
        <f>25.7117* CHOOSE(CONTROL!$C$22, $C$13, 100%, $E$13)</f>
        <v>25.7117</v>
      </c>
      <c r="I786" s="64">
        <f>25.7118 * CHOOSE(CONTROL!$C$22, $C$13, 100%, $E$13)</f>
        <v>25.7118</v>
      </c>
      <c r="J786" s="64">
        <f>14.7271 * CHOOSE(CONTROL!$C$22, $C$13, 100%, $E$13)</f>
        <v>14.7271</v>
      </c>
      <c r="K786" s="64">
        <f>14.7272 * CHOOSE(CONTROL!$C$22, $C$13, 100%, $E$13)</f>
        <v>14.7272</v>
      </c>
    </row>
    <row r="787" spans="1:11" ht="15">
      <c r="A787" s="13">
        <v>65440</v>
      </c>
      <c r="B787" s="63">
        <f>13.1304 * CHOOSE(CONTROL!$C$22, $C$13, 100%, $E$13)</f>
        <v>13.1304</v>
      </c>
      <c r="C787" s="63">
        <f>13.1304 * CHOOSE(CONTROL!$C$22, $C$13, 100%, $E$13)</f>
        <v>13.1304</v>
      </c>
      <c r="D787" s="63">
        <f>13.1304 * CHOOSE(CONTROL!$C$22, $C$13, 100%, $E$13)</f>
        <v>13.1304</v>
      </c>
      <c r="E787" s="64">
        <f>14.9338 * CHOOSE(CONTROL!$C$22, $C$13, 100%, $E$13)</f>
        <v>14.9338</v>
      </c>
      <c r="F787" s="64">
        <f>14.9338 * CHOOSE(CONTROL!$C$22, $C$13, 100%, $E$13)</f>
        <v>14.9338</v>
      </c>
      <c r="G787" s="64">
        <f>14.9338 * CHOOSE(CONTROL!$C$22, $C$13, 100%, $E$13)</f>
        <v>14.9338</v>
      </c>
      <c r="H787" s="64">
        <f>25.7653* CHOOSE(CONTROL!$C$22, $C$13, 100%, $E$13)</f>
        <v>25.7653</v>
      </c>
      <c r="I787" s="64">
        <f>25.7653 * CHOOSE(CONTROL!$C$22, $C$13, 100%, $E$13)</f>
        <v>25.7653</v>
      </c>
      <c r="J787" s="64">
        <f>14.9338 * CHOOSE(CONTROL!$C$22, $C$13, 100%, $E$13)</f>
        <v>14.9338</v>
      </c>
      <c r="K787" s="64">
        <f>14.9338 * CHOOSE(CONTROL!$C$22, $C$13, 100%, $E$13)</f>
        <v>14.9338</v>
      </c>
    </row>
    <row r="788" spans="1:11" ht="15">
      <c r="A788" s="13">
        <v>65471</v>
      </c>
      <c r="B788" s="63">
        <f>13.1357 * CHOOSE(CONTROL!$C$22, $C$13, 100%, $E$13)</f>
        <v>13.1357</v>
      </c>
      <c r="C788" s="63">
        <f>13.1357 * CHOOSE(CONTROL!$C$22, $C$13, 100%, $E$13)</f>
        <v>13.1357</v>
      </c>
      <c r="D788" s="63">
        <f>13.1357 * CHOOSE(CONTROL!$C$22, $C$13, 100%, $E$13)</f>
        <v>13.1357</v>
      </c>
      <c r="E788" s="64">
        <f>15.1538 * CHOOSE(CONTROL!$C$22, $C$13, 100%, $E$13)</f>
        <v>15.1538</v>
      </c>
      <c r="F788" s="64">
        <f>15.1538 * CHOOSE(CONTROL!$C$22, $C$13, 100%, $E$13)</f>
        <v>15.1538</v>
      </c>
      <c r="G788" s="64">
        <f>15.1538 * CHOOSE(CONTROL!$C$22, $C$13, 100%, $E$13)</f>
        <v>15.1538</v>
      </c>
      <c r="H788" s="64">
        <f>25.8189* CHOOSE(CONTROL!$C$22, $C$13, 100%, $E$13)</f>
        <v>25.818899999999999</v>
      </c>
      <c r="I788" s="64">
        <f>25.819 * CHOOSE(CONTROL!$C$22, $C$13, 100%, $E$13)</f>
        <v>25.818999999999999</v>
      </c>
      <c r="J788" s="64">
        <f>15.1538 * CHOOSE(CONTROL!$C$22, $C$13, 100%, $E$13)</f>
        <v>15.1538</v>
      </c>
      <c r="K788" s="64">
        <f>15.1538 * CHOOSE(CONTROL!$C$22, $C$13, 100%, $E$13)</f>
        <v>15.1538</v>
      </c>
    </row>
    <row r="789" spans="1:11" ht="15">
      <c r="A789" s="13">
        <v>65501</v>
      </c>
      <c r="B789" s="63">
        <f>13.1357 * CHOOSE(CONTROL!$C$22, $C$13, 100%, $E$13)</f>
        <v>13.1357</v>
      </c>
      <c r="C789" s="63">
        <f>13.1357 * CHOOSE(CONTROL!$C$22, $C$13, 100%, $E$13)</f>
        <v>13.1357</v>
      </c>
      <c r="D789" s="63">
        <f>13.1438 * CHOOSE(CONTROL!$C$22, $C$13, 100%, $E$13)</f>
        <v>13.143800000000001</v>
      </c>
      <c r="E789" s="64">
        <f>15.2378 * CHOOSE(CONTROL!$C$22, $C$13, 100%, $E$13)</f>
        <v>15.2378</v>
      </c>
      <c r="F789" s="64">
        <f>15.2378 * CHOOSE(CONTROL!$C$22, $C$13, 100%, $E$13)</f>
        <v>15.2378</v>
      </c>
      <c r="G789" s="64">
        <f>15.2477 * CHOOSE(CONTROL!$C$22, $C$13, 100%, $E$13)</f>
        <v>15.2477</v>
      </c>
      <c r="H789" s="64">
        <f>25.8727* CHOOSE(CONTROL!$C$22, $C$13, 100%, $E$13)</f>
        <v>25.872699999999998</v>
      </c>
      <c r="I789" s="64">
        <f>25.8826 * CHOOSE(CONTROL!$C$22, $C$13, 100%, $E$13)</f>
        <v>25.8826</v>
      </c>
      <c r="J789" s="64">
        <f>15.2378 * CHOOSE(CONTROL!$C$22, $C$13, 100%, $E$13)</f>
        <v>15.2378</v>
      </c>
      <c r="K789" s="64">
        <f>15.2477 * CHOOSE(CONTROL!$C$22, $C$13, 100%, $E$13)</f>
        <v>15.2477</v>
      </c>
    </row>
    <row r="790" spans="1:11" ht="15">
      <c r="A790" s="13">
        <v>65532</v>
      </c>
      <c r="B790" s="63">
        <f>13.1418 * CHOOSE(CONTROL!$C$22, $C$13, 100%, $E$13)</f>
        <v>13.1418</v>
      </c>
      <c r="C790" s="63">
        <f>13.1418 * CHOOSE(CONTROL!$C$22, $C$13, 100%, $E$13)</f>
        <v>13.1418</v>
      </c>
      <c r="D790" s="63">
        <f>13.1499 * CHOOSE(CONTROL!$C$22, $C$13, 100%, $E$13)</f>
        <v>13.149900000000001</v>
      </c>
      <c r="E790" s="64">
        <f>15.158 * CHOOSE(CONTROL!$C$22, $C$13, 100%, $E$13)</f>
        <v>15.157999999999999</v>
      </c>
      <c r="F790" s="64">
        <f>15.158 * CHOOSE(CONTROL!$C$22, $C$13, 100%, $E$13)</f>
        <v>15.157999999999999</v>
      </c>
      <c r="G790" s="64">
        <f>15.1678 * CHOOSE(CONTROL!$C$22, $C$13, 100%, $E$13)</f>
        <v>15.1678</v>
      </c>
      <c r="H790" s="64">
        <f>25.9266* CHOOSE(CONTROL!$C$22, $C$13, 100%, $E$13)</f>
        <v>25.926600000000001</v>
      </c>
      <c r="I790" s="64">
        <f>25.9365 * CHOOSE(CONTROL!$C$22, $C$13, 100%, $E$13)</f>
        <v>25.936499999999999</v>
      </c>
      <c r="J790" s="64">
        <f>15.158 * CHOOSE(CONTROL!$C$22, $C$13, 100%, $E$13)</f>
        <v>15.157999999999999</v>
      </c>
      <c r="K790" s="64">
        <f>15.1678 * CHOOSE(CONTROL!$C$22, $C$13, 100%, $E$13)</f>
        <v>15.1678</v>
      </c>
    </row>
    <row r="791" spans="1:11" ht="15">
      <c r="A791" s="13">
        <v>65562</v>
      </c>
      <c r="B791" s="63">
        <f>13.3417 * CHOOSE(CONTROL!$C$22, $C$13, 100%, $E$13)</f>
        <v>13.341699999999999</v>
      </c>
      <c r="C791" s="63">
        <f>13.3417 * CHOOSE(CONTROL!$C$22, $C$13, 100%, $E$13)</f>
        <v>13.341699999999999</v>
      </c>
      <c r="D791" s="63">
        <f>13.3498 * CHOOSE(CONTROL!$C$22, $C$13, 100%, $E$13)</f>
        <v>13.3498</v>
      </c>
      <c r="E791" s="64">
        <f>15.3998 * CHOOSE(CONTROL!$C$22, $C$13, 100%, $E$13)</f>
        <v>15.399800000000001</v>
      </c>
      <c r="F791" s="64">
        <f>15.3998 * CHOOSE(CONTROL!$C$22, $C$13, 100%, $E$13)</f>
        <v>15.399800000000001</v>
      </c>
      <c r="G791" s="64">
        <f>15.4096 * CHOOSE(CONTROL!$C$22, $C$13, 100%, $E$13)</f>
        <v>15.409599999999999</v>
      </c>
      <c r="H791" s="64">
        <f>25.9806* CHOOSE(CONTROL!$C$22, $C$13, 100%, $E$13)</f>
        <v>25.980599999999999</v>
      </c>
      <c r="I791" s="64">
        <f>25.9905 * CHOOSE(CONTROL!$C$22, $C$13, 100%, $E$13)</f>
        <v>25.990500000000001</v>
      </c>
      <c r="J791" s="64">
        <f>15.3998 * CHOOSE(CONTROL!$C$22, $C$13, 100%, $E$13)</f>
        <v>15.399800000000001</v>
      </c>
      <c r="K791" s="64">
        <f>15.4096 * CHOOSE(CONTROL!$C$22, $C$13, 100%, $E$13)</f>
        <v>15.409599999999999</v>
      </c>
    </row>
    <row r="792" spans="1:11" ht="15">
      <c r="A792" s="13">
        <v>65593</v>
      </c>
      <c r="B792" s="63">
        <f>13.3484 * CHOOSE(CONTROL!$C$22, $C$13, 100%, $E$13)</f>
        <v>13.3484</v>
      </c>
      <c r="C792" s="63">
        <f>13.3484 * CHOOSE(CONTROL!$C$22, $C$13, 100%, $E$13)</f>
        <v>13.3484</v>
      </c>
      <c r="D792" s="63">
        <f>13.3565 * CHOOSE(CONTROL!$C$22, $C$13, 100%, $E$13)</f>
        <v>13.3565</v>
      </c>
      <c r="E792" s="64">
        <f>15.1522 * CHOOSE(CONTROL!$C$22, $C$13, 100%, $E$13)</f>
        <v>15.152200000000001</v>
      </c>
      <c r="F792" s="64">
        <f>15.1522 * CHOOSE(CONTROL!$C$22, $C$13, 100%, $E$13)</f>
        <v>15.152200000000001</v>
      </c>
      <c r="G792" s="64">
        <f>15.162 * CHOOSE(CONTROL!$C$22, $C$13, 100%, $E$13)</f>
        <v>15.162000000000001</v>
      </c>
      <c r="H792" s="64">
        <f>26.0348* CHOOSE(CONTROL!$C$22, $C$13, 100%, $E$13)</f>
        <v>26.034800000000001</v>
      </c>
      <c r="I792" s="64">
        <f>26.0446 * CHOOSE(CONTROL!$C$22, $C$13, 100%, $E$13)</f>
        <v>26.044599999999999</v>
      </c>
      <c r="J792" s="64">
        <f>15.1522 * CHOOSE(CONTROL!$C$22, $C$13, 100%, $E$13)</f>
        <v>15.152200000000001</v>
      </c>
      <c r="K792" s="64">
        <f>15.162 * CHOOSE(CONTROL!$C$22, $C$13, 100%, $E$13)</f>
        <v>15.162000000000001</v>
      </c>
    </row>
    <row r="793" spans="1:11" ht="15">
      <c r="A793" s="13">
        <v>65624</v>
      </c>
      <c r="B793" s="63">
        <f>13.3454 * CHOOSE(CONTROL!$C$22, $C$13, 100%, $E$13)</f>
        <v>13.3454</v>
      </c>
      <c r="C793" s="63">
        <f>13.3454 * CHOOSE(CONTROL!$C$22, $C$13, 100%, $E$13)</f>
        <v>13.3454</v>
      </c>
      <c r="D793" s="63">
        <f>13.3535 * CHOOSE(CONTROL!$C$22, $C$13, 100%, $E$13)</f>
        <v>13.3535</v>
      </c>
      <c r="E793" s="64">
        <f>15.1221 * CHOOSE(CONTROL!$C$22, $C$13, 100%, $E$13)</f>
        <v>15.1221</v>
      </c>
      <c r="F793" s="64">
        <f>15.1221 * CHOOSE(CONTROL!$C$22, $C$13, 100%, $E$13)</f>
        <v>15.1221</v>
      </c>
      <c r="G793" s="64">
        <f>15.1319 * CHOOSE(CONTROL!$C$22, $C$13, 100%, $E$13)</f>
        <v>15.1319</v>
      </c>
      <c r="H793" s="64">
        <f>26.089* CHOOSE(CONTROL!$C$22, $C$13, 100%, $E$13)</f>
        <v>26.088999999999999</v>
      </c>
      <c r="I793" s="64">
        <f>26.0988 * CHOOSE(CONTROL!$C$22, $C$13, 100%, $E$13)</f>
        <v>26.098800000000001</v>
      </c>
      <c r="J793" s="64">
        <f>15.1221 * CHOOSE(CONTROL!$C$22, $C$13, 100%, $E$13)</f>
        <v>15.1221</v>
      </c>
      <c r="K793" s="64">
        <f>15.1319 * CHOOSE(CONTROL!$C$22, $C$13, 100%, $E$13)</f>
        <v>15.1319</v>
      </c>
    </row>
    <row r="794" spans="1:11" ht="15">
      <c r="A794" s="13">
        <v>65654</v>
      </c>
      <c r="B794" s="63">
        <f>13.3705 * CHOOSE(CONTROL!$C$22, $C$13, 100%, $E$13)</f>
        <v>13.3705</v>
      </c>
      <c r="C794" s="63">
        <f>13.3705 * CHOOSE(CONTROL!$C$22, $C$13, 100%, $E$13)</f>
        <v>13.3705</v>
      </c>
      <c r="D794" s="63">
        <f>13.3705 * CHOOSE(CONTROL!$C$22, $C$13, 100%, $E$13)</f>
        <v>13.3705</v>
      </c>
      <c r="E794" s="64">
        <f>15.2207 * CHOOSE(CONTROL!$C$22, $C$13, 100%, $E$13)</f>
        <v>15.220700000000001</v>
      </c>
      <c r="F794" s="64">
        <f>15.2207 * CHOOSE(CONTROL!$C$22, $C$13, 100%, $E$13)</f>
        <v>15.220700000000001</v>
      </c>
      <c r="G794" s="64">
        <f>15.2208 * CHOOSE(CONTROL!$C$22, $C$13, 100%, $E$13)</f>
        <v>15.220800000000001</v>
      </c>
      <c r="H794" s="64">
        <f>26.1434* CHOOSE(CONTROL!$C$22, $C$13, 100%, $E$13)</f>
        <v>26.1434</v>
      </c>
      <c r="I794" s="64">
        <f>26.1434 * CHOOSE(CONTROL!$C$22, $C$13, 100%, $E$13)</f>
        <v>26.1434</v>
      </c>
      <c r="J794" s="64">
        <f>15.2207 * CHOOSE(CONTROL!$C$22, $C$13, 100%, $E$13)</f>
        <v>15.220700000000001</v>
      </c>
      <c r="K794" s="64">
        <f>15.2208 * CHOOSE(CONTROL!$C$22, $C$13, 100%, $E$13)</f>
        <v>15.220800000000001</v>
      </c>
    </row>
    <row r="795" spans="1:11" ht="15">
      <c r="A795" s="13">
        <v>65685</v>
      </c>
      <c r="B795" s="63">
        <f>13.3736 * CHOOSE(CONTROL!$C$22, $C$13, 100%, $E$13)</f>
        <v>13.3736</v>
      </c>
      <c r="C795" s="63">
        <f>13.3736 * CHOOSE(CONTROL!$C$22, $C$13, 100%, $E$13)</f>
        <v>13.3736</v>
      </c>
      <c r="D795" s="63">
        <f>13.3736 * CHOOSE(CONTROL!$C$22, $C$13, 100%, $E$13)</f>
        <v>13.3736</v>
      </c>
      <c r="E795" s="64">
        <f>15.2789 * CHOOSE(CONTROL!$C$22, $C$13, 100%, $E$13)</f>
        <v>15.2789</v>
      </c>
      <c r="F795" s="64">
        <f>15.2789 * CHOOSE(CONTROL!$C$22, $C$13, 100%, $E$13)</f>
        <v>15.2789</v>
      </c>
      <c r="G795" s="64">
        <f>15.279 * CHOOSE(CONTROL!$C$22, $C$13, 100%, $E$13)</f>
        <v>15.279</v>
      </c>
      <c r="H795" s="64">
        <f>26.1978* CHOOSE(CONTROL!$C$22, $C$13, 100%, $E$13)</f>
        <v>26.197800000000001</v>
      </c>
      <c r="I795" s="64">
        <f>26.1979 * CHOOSE(CONTROL!$C$22, $C$13, 100%, $E$13)</f>
        <v>26.197900000000001</v>
      </c>
      <c r="J795" s="64">
        <f>15.2789 * CHOOSE(CONTROL!$C$22, $C$13, 100%, $E$13)</f>
        <v>15.2789</v>
      </c>
      <c r="K795" s="64">
        <f>15.279 * CHOOSE(CONTROL!$C$22, $C$13, 100%, $E$13)</f>
        <v>15.279</v>
      </c>
    </row>
    <row r="796" spans="1:11" ht="15">
      <c r="A796" s="13">
        <v>65715</v>
      </c>
      <c r="B796" s="63">
        <f>13.3736 * CHOOSE(CONTROL!$C$22, $C$13, 100%, $E$13)</f>
        <v>13.3736</v>
      </c>
      <c r="C796" s="63">
        <f>13.3736 * CHOOSE(CONTROL!$C$22, $C$13, 100%, $E$13)</f>
        <v>13.3736</v>
      </c>
      <c r="D796" s="63">
        <f>13.3736 * CHOOSE(CONTROL!$C$22, $C$13, 100%, $E$13)</f>
        <v>13.3736</v>
      </c>
      <c r="E796" s="64">
        <f>15.1388 * CHOOSE(CONTROL!$C$22, $C$13, 100%, $E$13)</f>
        <v>15.1388</v>
      </c>
      <c r="F796" s="64">
        <f>15.1388 * CHOOSE(CONTROL!$C$22, $C$13, 100%, $E$13)</f>
        <v>15.1388</v>
      </c>
      <c r="G796" s="64">
        <f>15.1389 * CHOOSE(CONTROL!$C$22, $C$13, 100%, $E$13)</f>
        <v>15.1389</v>
      </c>
      <c r="H796" s="64">
        <f>26.2524* CHOOSE(CONTROL!$C$22, $C$13, 100%, $E$13)</f>
        <v>26.252400000000002</v>
      </c>
      <c r="I796" s="64">
        <f>26.2525 * CHOOSE(CONTROL!$C$22, $C$13, 100%, $E$13)</f>
        <v>26.252500000000001</v>
      </c>
      <c r="J796" s="64">
        <f>15.1388 * CHOOSE(CONTROL!$C$22, $C$13, 100%, $E$13)</f>
        <v>15.1388</v>
      </c>
      <c r="K796" s="64">
        <f>15.1389 * CHOOSE(CONTROL!$C$22, $C$13, 100%, $E$13)</f>
        <v>15.1389</v>
      </c>
    </row>
    <row r="797" spans="1:11" ht="15">
      <c r="A797" s="13">
        <v>65746</v>
      </c>
      <c r="B797" s="63">
        <f>13.372 * CHOOSE(CONTROL!$C$22, $C$13, 100%, $E$13)</f>
        <v>13.372</v>
      </c>
      <c r="C797" s="63">
        <f>13.372 * CHOOSE(CONTROL!$C$22, $C$13, 100%, $E$13)</f>
        <v>13.372</v>
      </c>
      <c r="D797" s="63">
        <f>13.372 * CHOOSE(CONTROL!$C$22, $C$13, 100%, $E$13)</f>
        <v>13.372</v>
      </c>
      <c r="E797" s="64">
        <f>15.2488 * CHOOSE(CONTROL!$C$22, $C$13, 100%, $E$13)</f>
        <v>15.248799999999999</v>
      </c>
      <c r="F797" s="64">
        <f>15.2488 * CHOOSE(CONTROL!$C$22, $C$13, 100%, $E$13)</f>
        <v>15.248799999999999</v>
      </c>
      <c r="G797" s="64">
        <f>15.2489 * CHOOSE(CONTROL!$C$22, $C$13, 100%, $E$13)</f>
        <v>15.248900000000001</v>
      </c>
      <c r="H797" s="64">
        <f>26.1041* CHOOSE(CONTROL!$C$22, $C$13, 100%, $E$13)</f>
        <v>26.104099999999999</v>
      </c>
      <c r="I797" s="64">
        <f>26.1042 * CHOOSE(CONTROL!$C$22, $C$13, 100%, $E$13)</f>
        <v>26.104199999999999</v>
      </c>
      <c r="J797" s="64">
        <f>15.2488 * CHOOSE(CONTROL!$C$22, $C$13, 100%, $E$13)</f>
        <v>15.248799999999999</v>
      </c>
      <c r="K797" s="64">
        <f>15.2489 * CHOOSE(CONTROL!$C$22, $C$13, 100%, $E$13)</f>
        <v>15.248900000000001</v>
      </c>
    </row>
    <row r="798" spans="1:11" ht="15">
      <c r="A798" s="13">
        <v>65777</v>
      </c>
      <c r="B798" s="63">
        <f>13.369 * CHOOSE(CONTROL!$C$22, $C$13, 100%, $E$13)</f>
        <v>13.369</v>
      </c>
      <c r="C798" s="63">
        <f>13.369 * CHOOSE(CONTROL!$C$22, $C$13, 100%, $E$13)</f>
        <v>13.369</v>
      </c>
      <c r="D798" s="63">
        <f>13.369 * CHOOSE(CONTROL!$C$22, $C$13, 100%, $E$13)</f>
        <v>13.369</v>
      </c>
      <c r="E798" s="64">
        <f>14.9769 * CHOOSE(CONTROL!$C$22, $C$13, 100%, $E$13)</f>
        <v>14.976900000000001</v>
      </c>
      <c r="F798" s="64">
        <f>14.9769 * CHOOSE(CONTROL!$C$22, $C$13, 100%, $E$13)</f>
        <v>14.976900000000001</v>
      </c>
      <c r="G798" s="64">
        <f>14.977 * CHOOSE(CONTROL!$C$22, $C$13, 100%, $E$13)</f>
        <v>14.977</v>
      </c>
      <c r="H798" s="64">
        <f>26.1585* CHOOSE(CONTROL!$C$22, $C$13, 100%, $E$13)</f>
        <v>26.1585</v>
      </c>
      <c r="I798" s="64">
        <f>26.1586 * CHOOSE(CONTROL!$C$22, $C$13, 100%, $E$13)</f>
        <v>26.1586</v>
      </c>
      <c r="J798" s="64">
        <f>14.9769 * CHOOSE(CONTROL!$C$22, $C$13, 100%, $E$13)</f>
        <v>14.976900000000001</v>
      </c>
      <c r="K798" s="64">
        <f>14.977 * CHOOSE(CONTROL!$C$22, $C$13, 100%, $E$13)</f>
        <v>14.977</v>
      </c>
    </row>
    <row r="799" spans="1:11" ht="15">
      <c r="A799" s="13">
        <v>65806</v>
      </c>
      <c r="B799" s="63">
        <f>13.3659 * CHOOSE(CONTROL!$C$22, $C$13, 100%, $E$13)</f>
        <v>13.3659</v>
      </c>
      <c r="C799" s="63">
        <f>13.3659 * CHOOSE(CONTROL!$C$22, $C$13, 100%, $E$13)</f>
        <v>13.3659</v>
      </c>
      <c r="D799" s="63">
        <f>13.366 * CHOOSE(CONTROL!$C$22, $C$13, 100%, $E$13)</f>
        <v>13.366</v>
      </c>
      <c r="E799" s="64">
        <f>15.1874 * CHOOSE(CONTROL!$C$22, $C$13, 100%, $E$13)</f>
        <v>15.1874</v>
      </c>
      <c r="F799" s="64">
        <f>15.1874 * CHOOSE(CONTROL!$C$22, $C$13, 100%, $E$13)</f>
        <v>15.1874</v>
      </c>
      <c r="G799" s="64">
        <f>15.1875 * CHOOSE(CONTROL!$C$22, $C$13, 100%, $E$13)</f>
        <v>15.1875</v>
      </c>
      <c r="H799" s="64">
        <f>26.213* CHOOSE(CONTROL!$C$22, $C$13, 100%, $E$13)</f>
        <v>26.213000000000001</v>
      </c>
      <c r="I799" s="64">
        <f>26.2131 * CHOOSE(CONTROL!$C$22, $C$13, 100%, $E$13)</f>
        <v>26.213100000000001</v>
      </c>
      <c r="J799" s="64">
        <f>15.1874 * CHOOSE(CONTROL!$C$22, $C$13, 100%, $E$13)</f>
        <v>15.1874</v>
      </c>
      <c r="K799" s="64">
        <f>15.1875 * CHOOSE(CONTROL!$C$22, $C$13, 100%, $E$13)</f>
        <v>15.1875</v>
      </c>
    </row>
    <row r="800" spans="1:11" ht="15">
      <c r="A800" s="13">
        <v>65837</v>
      </c>
      <c r="B800" s="63">
        <f>13.3715 * CHOOSE(CONTROL!$C$22, $C$13, 100%, $E$13)</f>
        <v>13.371499999999999</v>
      </c>
      <c r="C800" s="63">
        <f>13.3715 * CHOOSE(CONTROL!$C$22, $C$13, 100%, $E$13)</f>
        <v>13.371499999999999</v>
      </c>
      <c r="D800" s="63">
        <f>13.3715 * CHOOSE(CONTROL!$C$22, $C$13, 100%, $E$13)</f>
        <v>13.371499999999999</v>
      </c>
      <c r="E800" s="64">
        <f>15.4116 * CHOOSE(CONTROL!$C$22, $C$13, 100%, $E$13)</f>
        <v>15.4116</v>
      </c>
      <c r="F800" s="64">
        <f>15.4116 * CHOOSE(CONTROL!$C$22, $C$13, 100%, $E$13)</f>
        <v>15.4116</v>
      </c>
      <c r="G800" s="64">
        <f>15.4117 * CHOOSE(CONTROL!$C$22, $C$13, 100%, $E$13)</f>
        <v>15.4117</v>
      </c>
      <c r="H800" s="64">
        <f>26.2676* CHOOSE(CONTROL!$C$22, $C$13, 100%, $E$13)</f>
        <v>26.267600000000002</v>
      </c>
      <c r="I800" s="64">
        <f>26.2677 * CHOOSE(CONTROL!$C$22, $C$13, 100%, $E$13)</f>
        <v>26.267700000000001</v>
      </c>
      <c r="J800" s="64">
        <f>15.4116 * CHOOSE(CONTROL!$C$22, $C$13, 100%, $E$13)</f>
        <v>15.4116</v>
      </c>
      <c r="K800" s="64">
        <f>15.4117 * CHOOSE(CONTROL!$C$22, $C$13, 100%, $E$13)</f>
        <v>15.4117</v>
      </c>
    </row>
    <row r="801" spans="1:11" ht="15">
      <c r="A801" s="13">
        <v>65867</v>
      </c>
      <c r="B801" s="63">
        <f>13.3715 * CHOOSE(CONTROL!$C$22, $C$13, 100%, $E$13)</f>
        <v>13.371499999999999</v>
      </c>
      <c r="C801" s="63">
        <f>13.3715 * CHOOSE(CONTROL!$C$22, $C$13, 100%, $E$13)</f>
        <v>13.371499999999999</v>
      </c>
      <c r="D801" s="63">
        <f>13.3796 * CHOOSE(CONTROL!$C$22, $C$13, 100%, $E$13)</f>
        <v>13.3796</v>
      </c>
      <c r="E801" s="64">
        <f>15.4973 * CHOOSE(CONTROL!$C$22, $C$13, 100%, $E$13)</f>
        <v>15.497299999999999</v>
      </c>
      <c r="F801" s="64">
        <f>15.4973 * CHOOSE(CONTROL!$C$22, $C$13, 100%, $E$13)</f>
        <v>15.497299999999999</v>
      </c>
      <c r="G801" s="64">
        <f>15.5071 * CHOOSE(CONTROL!$C$22, $C$13, 100%, $E$13)</f>
        <v>15.507099999999999</v>
      </c>
      <c r="H801" s="64">
        <f>26.3223* CHOOSE(CONTROL!$C$22, $C$13, 100%, $E$13)</f>
        <v>26.322299999999998</v>
      </c>
      <c r="I801" s="64">
        <f>26.3322 * CHOOSE(CONTROL!$C$22, $C$13, 100%, $E$13)</f>
        <v>26.3322</v>
      </c>
      <c r="J801" s="64">
        <f>15.4973 * CHOOSE(CONTROL!$C$22, $C$13, 100%, $E$13)</f>
        <v>15.497299999999999</v>
      </c>
      <c r="K801" s="64">
        <f>15.5071 * CHOOSE(CONTROL!$C$22, $C$13, 100%, $E$13)</f>
        <v>15.507099999999999</v>
      </c>
    </row>
    <row r="802" spans="1:11" ht="15">
      <c r="A802" s="13">
        <v>65898</v>
      </c>
      <c r="B802" s="63">
        <f>13.3775 * CHOOSE(CONTROL!$C$22, $C$13, 100%, $E$13)</f>
        <v>13.3775</v>
      </c>
      <c r="C802" s="63">
        <f>13.3775 * CHOOSE(CONTROL!$C$22, $C$13, 100%, $E$13)</f>
        <v>13.3775</v>
      </c>
      <c r="D802" s="63">
        <f>13.3856 * CHOOSE(CONTROL!$C$22, $C$13, 100%, $E$13)</f>
        <v>13.3856</v>
      </c>
      <c r="E802" s="64">
        <f>15.4159 * CHOOSE(CONTROL!$C$22, $C$13, 100%, $E$13)</f>
        <v>15.415900000000001</v>
      </c>
      <c r="F802" s="64">
        <f>15.4159 * CHOOSE(CONTROL!$C$22, $C$13, 100%, $E$13)</f>
        <v>15.415900000000001</v>
      </c>
      <c r="G802" s="64">
        <f>15.4257 * CHOOSE(CONTROL!$C$22, $C$13, 100%, $E$13)</f>
        <v>15.425700000000001</v>
      </c>
      <c r="H802" s="64">
        <f>26.3772* CHOOSE(CONTROL!$C$22, $C$13, 100%, $E$13)</f>
        <v>26.377199999999998</v>
      </c>
      <c r="I802" s="64">
        <f>26.387 * CHOOSE(CONTROL!$C$22, $C$13, 100%, $E$13)</f>
        <v>26.387</v>
      </c>
      <c r="J802" s="64">
        <f>15.4159 * CHOOSE(CONTROL!$C$22, $C$13, 100%, $E$13)</f>
        <v>15.415900000000001</v>
      </c>
      <c r="K802" s="64">
        <f>15.4257 * CHOOSE(CONTROL!$C$22, $C$13, 100%, $E$13)</f>
        <v>15.425700000000001</v>
      </c>
    </row>
    <row r="803" spans="1:11" ht="15">
      <c r="A803" s="13">
        <v>65928</v>
      </c>
      <c r="B803" s="63">
        <f>13.5809 * CHOOSE(CONTROL!$C$22, $C$13, 100%, $E$13)</f>
        <v>13.5809</v>
      </c>
      <c r="C803" s="63">
        <f>13.5809 * CHOOSE(CONTROL!$C$22, $C$13, 100%, $E$13)</f>
        <v>13.5809</v>
      </c>
      <c r="D803" s="63">
        <f>13.589 * CHOOSE(CONTROL!$C$22, $C$13, 100%, $E$13)</f>
        <v>13.589</v>
      </c>
      <c r="E803" s="64">
        <f>15.6616 * CHOOSE(CONTROL!$C$22, $C$13, 100%, $E$13)</f>
        <v>15.6616</v>
      </c>
      <c r="F803" s="64">
        <f>15.6616 * CHOOSE(CONTROL!$C$22, $C$13, 100%, $E$13)</f>
        <v>15.6616</v>
      </c>
      <c r="G803" s="64">
        <f>15.6714 * CHOOSE(CONTROL!$C$22, $C$13, 100%, $E$13)</f>
        <v>15.6714</v>
      </c>
      <c r="H803" s="64">
        <f>26.4321* CHOOSE(CONTROL!$C$22, $C$13, 100%, $E$13)</f>
        <v>26.432099999999998</v>
      </c>
      <c r="I803" s="64">
        <f>26.442 * CHOOSE(CONTROL!$C$22, $C$13, 100%, $E$13)</f>
        <v>26.442</v>
      </c>
      <c r="J803" s="64">
        <f>15.6616 * CHOOSE(CONTROL!$C$22, $C$13, 100%, $E$13)</f>
        <v>15.6616</v>
      </c>
      <c r="K803" s="64">
        <f>15.6714 * CHOOSE(CONTROL!$C$22, $C$13, 100%, $E$13)</f>
        <v>15.6714</v>
      </c>
    </row>
    <row r="804" spans="1:11" ht="15">
      <c r="A804" s="13">
        <v>65959</v>
      </c>
      <c r="B804" s="63">
        <f>13.5876 * CHOOSE(CONTROL!$C$22, $C$13, 100%, $E$13)</f>
        <v>13.5876</v>
      </c>
      <c r="C804" s="63">
        <f>13.5876 * CHOOSE(CONTROL!$C$22, $C$13, 100%, $E$13)</f>
        <v>13.5876</v>
      </c>
      <c r="D804" s="63">
        <f>13.5957 * CHOOSE(CONTROL!$C$22, $C$13, 100%, $E$13)</f>
        <v>13.595700000000001</v>
      </c>
      <c r="E804" s="64">
        <f>15.4093 * CHOOSE(CONTROL!$C$22, $C$13, 100%, $E$13)</f>
        <v>15.4093</v>
      </c>
      <c r="F804" s="64">
        <f>15.4093 * CHOOSE(CONTROL!$C$22, $C$13, 100%, $E$13)</f>
        <v>15.4093</v>
      </c>
      <c r="G804" s="64">
        <f>15.4191 * CHOOSE(CONTROL!$C$22, $C$13, 100%, $E$13)</f>
        <v>15.4191</v>
      </c>
      <c r="H804" s="64">
        <f>26.4872* CHOOSE(CONTROL!$C$22, $C$13, 100%, $E$13)</f>
        <v>26.487200000000001</v>
      </c>
      <c r="I804" s="64">
        <f>26.497 * CHOOSE(CONTROL!$C$22, $C$13, 100%, $E$13)</f>
        <v>26.497</v>
      </c>
      <c r="J804" s="64">
        <f>15.4093 * CHOOSE(CONTROL!$C$22, $C$13, 100%, $E$13)</f>
        <v>15.4093</v>
      </c>
      <c r="K804" s="64">
        <f>15.4191 * CHOOSE(CONTROL!$C$22, $C$13, 100%, $E$13)</f>
        <v>15.4191</v>
      </c>
    </row>
    <row r="805" spans="1:11" ht="15">
      <c r="A805" s="13">
        <v>65990</v>
      </c>
      <c r="B805" s="63">
        <f>13.5845 * CHOOSE(CONTROL!$C$22, $C$13, 100%, $E$13)</f>
        <v>13.5845</v>
      </c>
      <c r="C805" s="63">
        <f>13.5845 * CHOOSE(CONTROL!$C$22, $C$13, 100%, $E$13)</f>
        <v>13.5845</v>
      </c>
      <c r="D805" s="63">
        <f>13.5926 * CHOOSE(CONTROL!$C$22, $C$13, 100%, $E$13)</f>
        <v>13.592599999999999</v>
      </c>
      <c r="E805" s="64">
        <f>15.3786 * CHOOSE(CONTROL!$C$22, $C$13, 100%, $E$13)</f>
        <v>15.3786</v>
      </c>
      <c r="F805" s="64">
        <f>15.3786 * CHOOSE(CONTROL!$C$22, $C$13, 100%, $E$13)</f>
        <v>15.3786</v>
      </c>
      <c r="G805" s="64">
        <f>15.3884 * CHOOSE(CONTROL!$C$22, $C$13, 100%, $E$13)</f>
        <v>15.388400000000001</v>
      </c>
      <c r="H805" s="64">
        <f>26.5424* CHOOSE(CONTROL!$C$22, $C$13, 100%, $E$13)</f>
        <v>26.542400000000001</v>
      </c>
      <c r="I805" s="64">
        <f>26.5522 * CHOOSE(CONTROL!$C$22, $C$13, 100%, $E$13)</f>
        <v>26.552199999999999</v>
      </c>
      <c r="J805" s="64">
        <f>15.3786 * CHOOSE(CONTROL!$C$22, $C$13, 100%, $E$13)</f>
        <v>15.3786</v>
      </c>
      <c r="K805" s="64">
        <f>15.3884 * CHOOSE(CONTROL!$C$22, $C$13, 100%, $E$13)</f>
        <v>15.388400000000001</v>
      </c>
    </row>
    <row r="806" spans="1:11" ht="15">
      <c r="A806" s="13">
        <v>66020</v>
      </c>
      <c r="B806" s="63">
        <f>13.6105 * CHOOSE(CONTROL!$C$22, $C$13, 100%, $E$13)</f>
        <v>13.6105</v>
      </c>
      <c r="C806" s="63">
        <f>13.6105 * CHOOSE(CONTROL!$C$22, $C$13, 100%, $E$13)</f>
        <v>13.6105</v>
      </c>
      <c r="D806" s="63">
        <f>13.6105 * CHOOSE(CONTROL!$C$22, $C$13, 100%, $E$13)</f>
        <v>13.6105</v>
      </c>
      <c r="E806" s="64">
        <f>15.4794 * CHOOSE(CONTROL!$C$22, $C$13, 100%, $E$13)</f>
        <v>15.4794</v>
      </c>
      <c r="F806" s="64">
        <f>15.4794 * CHOOSE(CONTROL!$C$22, $C$13, 100%, $E$13)</f>
        <v>15.4794</v>
      </c>
      <c r="G806" s="64">
        <f>15.4795 * CHOOSE(CONTROL!$C$22, $C$13, 100%, $E$13)</f>
        <v>15.4795</v>
      </c>
      <c r="H806" s="64">
        <f>26.5977* CHOOSE(CONTROL!$C$22, $C$13, 100%, $E$13)</f>
        <v>26.5977</v>
      </c>
      <c r="I806" s="64">
        <f>26.5978 * CHOOSE(CONTROL!$C$22, $C$13, 100%, $E$13)</f>
        <v>26.597799999999999</v>
      </c>
      <c r="J806" s="64">
        <f>15.4794 * CHOOSE(CONTROL!$C$22, $C$13, 100%, $E$13)</f>
        <v>15.4794</v>
      </c>
      <c r="K806" s="64">
        <f>15.4795 * CHOOSE(CONTROL!$C$22, $C$13, 100%, $E$13)</f>
        <v>15.4795</v>
      </c>
    </row>
    <row r="807" spans="1:11" ht="15">
      <c r="A807" s="13">
        <v>66051</v>
      </c>
      <c r="B807" s="63">
        <f>13.6135 * CHOOSE(CONTROL!$C$22, $C$13, 100%, $E$13)</f>
        <v>13.6135</v>
      </c>
      <c r="C807" s="63">
        <f>13.6135 * CHOOSE(CONTROL!$C$22, $C$13, 100%, $E$13)</f>
        <v>13.6135</v>
      </c>
      <c r="D807" s="63">
        <f>13.6135 * CHOOSE(CONTROL!$C$22, $C$13, 100%, $E$13)</f>
        <v>13.6135</v>
      </c>
      <c r="E807" s="64">
        <f>15.5386 * CHOOSE(CONTROL!$C$22, $C$13, 100%, $E$13)</f>
        <v>15.538600000000001</v>
      </c>
      <c r="F807" s="64">
        <f>15.5386 * CHOOSE(CONTROL!$C$22, $C$13, 100%, $E$13)</f>
        <v>15.538600000000001</v>
      </c>
      <c r="G807" s="64">
        <f>15.5387 * CHOOSE(CONTROL!$C$22, $C$13, 100%, $E$13)</f>
        <v>15.5387</v>
      </c>
      <c r="H807" s="64">
        <f>26.6531* CHOOSE(CONTROL!$C$22, $C$13, 100%, $E$13)</f>
        <v>26.653099999999998</v>
      </c>
      <c r="I807" s="64">
        <f>26.6532 * CHOOSE(CONTROL!$C$22, $C$13, 100%, $E$13)</f>
        <v>26.653199999999998</v>
      </c>
      <c r="J807" s="64">
        <f>15.5386 * CHOOSE(CONTROL!$C$22, $C$13, 100%, $E$13)</f>
        <v>15.538600000000001</v>
      </c>
      <c r="K807" s="64">
        <f>15.5387 * CHOOSE(CONTROL!$C$22, $C$13, 100%, $E$13)</f>
        <v>15.5387</v>
      </c>
    </row>
    <row r="808" spans="1:11" ht="15">
      <c r="A808" s="13">
        <v>66081</v>
      </c>
      <c r="B808" s="63">
        <f>13.6135 * CHOOSE(CONTROL!$C$22, $C$13, 100%, $E$13)</f>
        <v>13.6135</v>
      </c>
      <c r="C808" s="63">
        <f>13.6135 * CHOOSE(CONTROL!$C$22, $C$13, 100%, $E$13)</f>
        <v>13.6135</v>
      </c>
      <c r="D808" s="63">
        <f>13.6135 * CHOOSE(CONTROL!$C$22, $C$13, 100%, $E$13)</f>
        <v>13.6135</v>
      </c>
      <c r="E808" s="64">
        <f>15.3959 * CHOOSE(CONTROL!$C$22, $C$13, 100%, $E$13)</f>
        <v>15.395899999999999</v>
      </c>
      <c r="F808" s="64">
        <f>15.3959 * CHOOSE(CONTROL!$C$22, $C$13, 100%, $E$13)</f>
        <v>15.395899999999999</v>
      </c>
      <c r="G808" s="64">
        <f>15.3959 * CHOOSE(CONTROL!$C$22, $C$13, 100%, $E$13)</f>
        <v>15.395899999999999</v>
      </c>
      <c r="H808" s="64">
        <f>26.7086* CHOOSE(CONTROL!$C$22, $C$13, 100%, $E$13)</f>
        <v>26.708600000000001</v>
      </c>
      <c r="I808" s="64">
        <f>26.7087 * CHOOSE(CONTROL!$C$22, $C$13, 100%, $E$13)</f>
        <v>26.7087</v>
      </c>
      <c r="J808" s="64">
        <f>15.3959 * CHOOSE(CONTROL!$C$22, $C$13, 100%, $E$13)</f>
        <v>15.395899999999999</v>
      </c>
      <c r="K808" s="64">
        <f>15.3959 * CHOOSE(CONTROL!$C$22, $C$13, 100%, $E$13)</f>
        <v>15.395899999999999</v>
      </c>
    </row>
    <row r="809" spans="1:11" ht="15">
      <c r="A809" s="13">
        <v>66112</v>
      </c>
      <c r="B809" s="63">
        <f>13.6076 * CHOOSE(CONTROL!$C$22, $C$13, 100%, $E$13)</f>
        <v>13.6076</v>
      </c>
      <c r="C809" s="63">
        <f>13.6076 * CHOOSE(CONTROL!$C$22, $C$13, 100%, $E$13)</f>
        <v>13.6076</v>
      </c>
      <c r="D809" s="63">
        <f>13.6076 * CHOOSE(CONTROL!$C$22, $C$13, 100%, $E$13)</f>
        <v>13.6076</v>
      </c>
      <c r="E809" s="64">
        <f>15.5035 * CHOOSE(CONTROL!$C$22, $C$13, 100%, $E$13)</f>
        <v>15.503500000000001</v>
      </c>
      <c r="F809" s="64">
        <f>15.5035 * CHOOSE(CONTROL!$C$22, $C$13, 100%, $E$13)</f>
        <v>15.503500000000001</v>
      </c>
      <c r="G809" s="64">
        <f>15.5036 * CHOOSE(CONTROL!$C$22, $C$13, 100%, $E$13)</f>
        <v>15.5036</v>
      </c>
      <c r="H809" s="64">
        <f>26.55* CHOOSE(CONTROL!$C$22, $C$13, 100%, $E$13)</f>
        <v>26.55</v>
      </c>
      <c r="I809" s="64">
        <f>26.5501 * CHOOSE(CONTROL!$C$22, $C$13, 100%, $E$13)</f>
        <v>26.5501</v>
      </c>
      <c r="J809" s="64">
        <f>15.5035 * CHOOSE(CONTROL!$C$22, $C$13, 100%, $E$13)</f>
        <v>15.503500000000001</v>
      </c>
      <c r="K809" s="64">
        <f>15.5036 * CHOOSE(CONTROL!$C$22, $C$13, 100%, $E$13)</f>
        <v>15.5036</v>
      </c>
    </row>
    <row r="810" spans="1:11" ht="15">
      <c r="A810" s="13">
        <v>66143</v>
      </c>
      <c r="B810" s="63">
        <f>13.6046 * CHOOSE(CONTROL!$C$22, $C$13, 100%, $E$13)</f>
        <v>13.6046</v>
      </c>
      <c r="C810" s="63">
        <f>13.6046 * CHOOSE(CONTROL!$C$22, $C$13, 100%, $E$13)</f>
        <v>13.6046</v>
      </c>
      <c r="D810" s="63">
        <f>13.6046 * CHOOSE(CONTROL!$C$22, $C$13, 100%, $E$13)</f>
        <v>13.6046</v>
      </c>
      <c r="E810" s="64">
        <f>15.2267 * CHOOSE(CONTROL!$C$22, $C$13, 100%, $E$13)</f>
        <v>15.226699999999999</v>
      </c>
      <c r="F810" s="64">
        <f>15.2267 * CHOOSE(CONTROL!$C$22, $C$13, 100%, $E$13)</f>
        <v>15.226699999999999</v>
      </c>
      <c r="G810" s="64">
        <f>15.2268 * CHOOSE(CONTROL!$C$22, $C$13, 100%, $E$13)</f>
        <v>15.226800000000001</v>
      </c>
      <c r="H810" s="64">
        <f>26.6053* CHOOSE(CONTROL!$C$22, $C$13, 100%, $E$13)</f>
        <v>26.6053</v>
      </c>
      <c r="I810" s="64">
        <f>26.6054 * CHOOSE(CONTROL!$C$22, $C$13, 100%, $E$13)</f>
        <v>26.605399999999999</v>
      </c>
      <c r="J810" s="64">
        <f>15.2267 * CHOOSE(CONTROL!$C$22, $C$13, 100%, $E$13)</f>
        <v>15.226699999999999</v>
      </c>
      <c r="K810" s="64">
        <f>15.2268 * CHOOSE(CONTROL!$C$22, $C$13, 100%, $E$13)</f>
        <v>15.226800000000001</v>
      </c>
    </row>
    <row r="811" spans="1:11" ht="15">
      <c r="A811" s="13">
        <v>66171</v>
      </c>
      <c r="B811" s="63">
        <f>13.6015 * CHOOSE(CONTROL!$C$22, $C$13, 100%, $E$13)</f>
        <v>13.6015</v>
      </c>
      <c r="C811" s="63">
        <f>13.6015 * CHOOSE(CONTROL!$C$22, $C$13, 100%, $E$13)</f>
        <v>13.6015</v>
      </c>
      <c r="D811" s="63">
        <f>13.6015 * CHOOSE(CONTROL!$C$22, $C$13, 100%, $E$13)</f>
        <v>13.6015</v>
      </c>
      <c r="E811" s="64">
        <f>15.4411 * CHOOSE(CONTROL!$C$22, $C$13, 100%, $E$13)</f>
        <v>15.4411</v>
      </c>
      <c r="F811" s="64">
        <f>15.4411 * CHOOSE(CONTROL!$C$22, $C$13, 100%, $E$13)</f>
        <v>15.4411</v>
      </c>
      <c r="G811" s="64">
        <f>15.4412 * CHOOSE(CONTROL!$C$22, $C$13, 100%, $E$13)</f>
        <v>15.4412</v>
      </c>
      <c r="H811" s="64">
        <f>26.6608* CHOOSE(CONTROL!$C$22, $C$13, 100%, $E$13)</f>
        <v>26.660799999999998</v>
      </c>
      <c r="I811" s="64">
        <f>26.6608 * CHOOSE(CONTROL!$C$22, $C$13, 100%, $E$13)</f>
        <v>26.660799999999998</v>
      </c>
      <c r="J811" s="64">
        <f>15.4411 * CHOOSE(CONTROL!$C$22, $C$13, 100%, $E$13)</f>
        <v>15.4411</v>
      </c>
      <c r="K811" s="64">
        <f>15.4412 * CHOOSE(CONTROL!$C$22, $C$13, 100%, $E$13)</f>
        <v>15.4412</v>
      </c>
    </row>
    <row r="812" spans="1:11" ht="15">
      <c r="A812" s="13">
        <v>66202</v>
      </c>
      <c r="B812" s="63">
        <f>13.6072 * CHOOSE(CONTROL!$C$22, $C$13, 100%, $E$13)</f>
        <v>13.607200000000001</v>
      </c>
      <c r="C812" s="63">
        <f>13.6072 * CHOOSE(CONTROL!$C$22, $C$13, 100%, $E$13)</f>
        <v>13.607200000000001</v>
      </c>
      <c r="D812" s="63">
        <f>13.6072 * CHOOSE(CONTROL!$C$22, $C$13, 100%, $E$13)</f>
        <v>13.607200000000001</v>
      </c>
      <c r="E812" s="64">
        <f>15.6695 * CHOOSE(CONTROL!$C$22, $C$13, 100%, $E$13)</f>
        <v>15.669499999999999</v>
      </c>
      <c r="F812" s="64">
        <f>15.6695 * CHOOSE(CONTROL!$C$22, $C$13, 100%, $E$13)</f>
        <v>15.669499999999999</v>
      </c>
      <c r="G812" s="64">
        <f>15.6696 * CHOOSE(CONTROL!$C$22, $C$13, 100%, $E$13)</f>
        <v>15.669600000000001</v>
      </c>
      <c r="H812" s="64">
        <f>26.7163* CHOOSE(CONTROL!$C$22, $C$13, 100%, $E$13)</f>
        <v>26.7163</v>
      </c>
      <c r="I812" s="64">
        <f>26.7164 * CHOOSE(CONTROL!$C$22, $C$13, 100%, $E$13)</f>
        <v>26.7164</v>
      </c>
      <c r="J812" s="64">
        <f>15.6695 * CHOOSE(CONTROL!$C$22, $C$13, 100%, $E$13)</f>
        <v>15.669499999999999</v>
      </c>
      <c r="K812" s="64">
        <f>15.6696 * CHOOSE(CONTROL!$C$22, $C$13, 100%, $E$13)</f>
        <v>15.669600000000001</v>
      </c>
    </row>
    <row r="813" spans="1:11" ht="15">
      <c r="A813" s="13">
        <v>66232</v>
      </c>
      <c r="B813" s="63">
        <f>13.6072 * CHOOSE(CONTROL!$C$22, $C$13, 100%, $E$13)</f>
        <v>13.607200000000001</v>
      </c>
      <c r="C813" s="63">
        <f>13.6072 * CHOOSE(CONTROL!$C$22, $C$13, 100%, $E$13)</f>
        <v>13.607200000000001</v>
      </c>
      <c r="D813" s="63">
        <f>13.6153 * CHOOSE(CONTROL!$C$22, $C$13, 100%, $E$13)</f>
        <v>13.6153</v>
      </c>
      <c r="E813" s="64">
        <f>15.7567 * CHOOSE(CONTROL!$C$22, $C$13, 100%, $E$13)</f>
        <v>15.7567</v>
      </c>
      <c r="F813" s="64">
        <f>15.7567 * CHOOSE(CONTROL!$C$22, $C$13, 100%, $E$13)</f>
        <v>15.7567</v>
      </c>
      <c r="G813" s="64">
        <f>15.7665 * CHOOSE(CONTROL!$C$22, $C$13, 100%, $E$13)</f>
        <v>15.766500000000001</v>
      </c>
      <c r="H813" s="64">
        <f>26.772* CHOOSE(CONTROL!$C$22, $C$13, 100%, $E$13)</f>
        <v>26.771999999999998</v>
      </c>
      <c r="I813" s="64">
        <f>26.7818 * CHOOSE(CONTROL!$C$22, $C$13, 100%, $E$13)</f>
        <v>26.7818</v>
      </c>
      <c r="J813" s="64">
        <f>15.7567 * CHOOSE(CONTROL!$C$22, $C$13, 100%, $E$13)</f>
        <v>15.7567</v>
      </c>
      <c r="K813" s="64">
        <f>15.7665 * CHOOSE(CONTROL!$C$22, $C$13, 100%, $E$13)</f>
        <v>15.766500000000001</v>
      </c>
    </row>
    <row r="814" spans="1:11" ht="15">
      <c r="A814" s="13">
        <v>66263</v>
      </c>
      <c r="B814" s="63">
        <f>13.6133 * CHOOSE(CONTROL!$C$22, $C$13, 100%, $E$13)</f>
        <v>13.613300000000001</v>
      </c>
      <c r="C814" s="63">
        <f>13.6133 * CHOOSE(CONTROL!$C$22, $C$13, 100%, $E$13)</f>
        <v>13.613300000000001</v>
      </c>
      <c r="D814" s="63">
        <f>13.6214 * CHOOSE(CONTROL!$C$22, $C$13, 100%, $E$13)</f>
        <v>13.6214</v>
      </c>
      <c r="E814" s="64">
        <f>15.6737 * CHOOSE(CONTROL!$C$22, $C$13, 100%, $E$13)</f>
        <v>15.6737</v>
      </c>
      <c r="F814" s="64">
        <f>15.6737 * CHOOSE(CONTROL!$C$22, $C$13, 100%, $E$13)</f>
        <v>15.6737</v>
      </c>
      <c r="G814" s="64">
        <f>15.6835 * CHOOSE(CONTROL!$C$22, $C$13, 100%, $E$13)</f>
        <v>15.6835</v>
      </c>
      <c r="H814" s="64">
        <f>26.8277* CHOOSE(CONTROL!$C$22, $C$13, 100%, $E$13)</f>
        <v>26.8277</v>
      </c>
      <c r="I814" s="64">
        <f>26.8376 * CHOOSE(CONTROL!$C$22, $C$13, 100%, $E$13)</f>
        <v>26.837599999999998</v>
      </c>
      <c r="J814" s="64">
        <f>15.6737 * CHOOSE(CONTROL!$C$22, $C$13, 100%, $E$13)</f>
        <v>15.6737</v>
      </c>
      <c r="K814" s="64">
        <f>15.6835 * CHOOSE(CONTROL!$C$22, $C$13, 100%, $E$13)</f>
        <v>15.6835</v>
      </c>
    </row>
    <row r="815" spans="1:11" ht="15">
      <c r="A815" s="13">
        <v>66293</v>
      </c>
      <c r="B815" s="63">
        <f>13.8201 * CHOOSE(CONTROL!$C$22, $C$13, 100%, $E$13)</f>
        <v>13.8201</v>
      </c>
      <c r="C815" s="63">
        <f>13.8201 * CHOOSE(CONTROL!$C$22, $C$13, 100%, $E$13)</f>
        <v>13.8201</v>
      </c>
      <c r="D815" s="63">
        <f>13.8282 * CHOOSE(CONTROL!$C$22, $C$13, 100%, $E$13)</f>
        <v>13.828200000000001</v>
      </c>
      <c r="E815" s="64">
        <f>15.9233 * CHOOSE(CONTROL!$C$22, $C$13, 100%, $E$13)</f>
        <v>15.923299999999999</v>
      </c>
      <c r="F815" s="64">
        <f>15.9233 * CHOOSE(CONTROL!$C$22, $C$13, 100%, $E$13)</f>
        <v>15.923299999999999</v>
      </c>
      <c r="G815" s="64">
        <f>15.9332 * CHOOSE(CONTROL!$C$22, $C$13, 100%, $E$13)</f>
        <v>15.933199999999999</v>
      </c>
      <c r="H815" s="64">
        <f>26.8836* CHOOSE(CONTROL!$C$22, $C$13, 100%, $E$13)</f>
        <v>26.883600000000001</v>
      </c>
      <c r="I815" s="64">
        <f>26.8935 * CHOOSE(CONTROL!$C$22, $C$13, 100%, $E$13)</f>
        <v>26.8935</v>
      </c>
      <c r="J815" s="64">
        <f>15.9233 * CHOOSE(CONTROL!$C$22, $C$13, 100%, $E$13)</f>
        <v>15.923299999999999</v>
      </c>
      <c r="K815" s="64">
        <f>15.9332 * CHOOSE(CONTROL!$C$22, $C$13, 100%, $E$13)</f>
        <v>15.933199999999999</v>
      </c>
    </row>
    <row r="816" spans="1:11" ht="15">
      <c r="A816" s="13">
        <v>66324</v>
      </c>
      <c r="B816" s="63">
        <f>13.8268 * CHOOSE(CONTROL!$C$22, $C$13, 100%, $E$13)</f>
        <v>13.8268</v>
      </c>
      <c r="C816" s="63">
        <f>13.8268 * CHOOSE(CONTROL!$C$22, $C$13, 100%, $E$13)</f>
        <v>13.8268</v>
      </c>
      <c r="D816" s="63">
        <f>13.8349 * CHOOSE(CONTROL!$C$22, $C$13, 100%, $E$13)</f>
        <v>13.834899999999999</v>
      </c>
      <c r="E816" s="64">
        <f>15.6663 * CHOOSE(CONTROL!$C$22, $C$13, 100%, $E$13)</f>
        <v>15.6663</v>
      </c>
      <c r="F816" s="64">
        <f>15.6663 * CHOOSE(CONTROL!$C$22, $C$13, 100%, $E$13)</f>
        <v>15.6663</v>
      </c>
      <c r="G816" s="64">
        <f>15.6762 * CHOOSE(CONTROL!$C$22, $C$13, 100%, $E$13)</f>
        <v>15.6762</v>
      </c>
      <c r="H816" s="64">
        <f>26.9396* CHOOSE(CONTROL!$C$22, $C$13, 100%, $E$13)</f>
        <v>26.939599999999999</v>
      </c>
      <c r="I816" s="64">
        <f>26.9495 * CHOOSE(CONTROL!$C$22, $C$13, 100%, $E$13)</f>
        <v>26.9495</v>
      </c>
      <c r="J816" s="64">
        <f>15.6663 * CHOOSE(CONTROL!$C$22, $C$13, 100%, $E$13)</f>
        <v>15.6663</v>
      </c>
      <c r="K816" s="64">
        <f>15.6762 * CHOOSE(CONTROL!$C$22, $C$13, 100%, $E$13)</f>
        <v>15.6762</v>
      </c>
    </row>
    <row r="817" spans="1:11" ht="15">
      <c r="A817" s="13">
        <v>66355</v>
      </c>
      <c r="B817" s="63">
        <f>13.8237 * CHOOSE(CONTROL!$C$22, $C$13, 100%, $E$13)</f>
        <v>13.823700000000001</v>
      </c>
      <c r="C817" s="63">
        <f>13.8237 * CHOOSE(CONTROL!$C$22, $C$13, 100%, $E$13)</f>
        <v>13.823700000000001</v>
      </c>
      <c r="D817" s="63">
        <f>13.8318 * CHOOSE(CONTROL!$C$22, $C$13, 100%, $E$13)</f>
        <v>13.831799999999999</v>
      </c>
      <c r="E817" s="64">
        <f>15.6351 * CHOOSE(CONTROL!$C$22, $C$13, 100%, $E$13)</f>
        <v>15.6351</v>
      </c>
      <c r="F817" s="64">
        <f>15.6351 * CHOOSE(CONTROL!$C$22, $C$13, 100%, $E$13)</f>
        <v>15.6351</v>
      </c>
      <c r="G817" s="64">
        <f>15.645 * CHOOSE(CONTROL!$C$22, $C$13, 100%, $E$13)</f>
        <v>15.645</v>
      </c>
      <c r="H817" s="64">
        <f>26.9958* CHOOSE(CONTROL!$C$22, $C$13, 100%, $E$13)</f>
        <v>26.995799999999999</v>
      </c>
      <c r="I817" s="64">
        <f>27.0056 * CHOOSE(CONTROL!$C$22, $C$13, 100%, $E$13)</f>
        <v>27.005600000000001</v>
      </c>
      <c r="J817" s="64">
        <f>15.6351 * CHOOSE(CONTROL!$C$22, $C$13, 100%, $E$13)</f>
        <v>15.6351</v>
      </c>
      <c r="K817" s="64">
        <f>15.645 * CHOOSE(CONTROL!$C$22, $C$13, 100%, $E$13)</f>
        <v>15.645</v>
      </c>
    </row>
    <row r="818" spans="1:11" ht="15">
      <c r="A818" s="13">
        <v>66385</v>
      </c>
      <c r="B818" s="63">
        <f>13.8504 * CHOOSE(CONTROL!$C$22, $C$13, 100%, $E$13)</f>
        <v>13.8504</v>
      </c>
      <c r="C818" s="63">
        <f>13.8504 * CHOOSE(CONTROL!$C$22, $C$13, 100%, $E$13)</f>
        <v>13.8504</v>
      </c>
      <c r="D818" s="63">
        <f>13.8504 * CHOOSE(CONTROL!$C$22, $C$13, 100%, $E$13)</f>
        <v>13.8504</v>
      </c>
      <c r="E818" s="64">
        <f>15.738 * CHOOSE(CONTROL!$C$22, $C$13, 100%, $E$13)</f>
        <v>15.738</v>
      </c>
      <c r="F818" s="64">
        <f>15.738 * CHOOSE(CONTROL!$C$22, $C$13, 100%, $E$13)</f>
        <v>15.738</v>
      </c>
      <c r="G818" s="64">
        <f>15.7381 * CHOOSE(CONTROL!$C$22, $C$13, 100%, $E$13)</f>
        <v>15.738099999999999</v>
      </c>
      <c r="H818" s="64">
        <f>27.052* CHOOSE(CONTROL!$C$22, $C$13, 100%, $E$13)</f>
        <v>27.052</v>
      </c>
      <c r="I818" s="64">
        <f>27.0521 * CHOOSE(CONTROL!$C$22, $C$13, 100%, $E$13)</f>
        <v>27.052099999999999</v>
      </c>
      <c r="J818" s="64">
        <f>15.738 * CHOOSE(CONTROL!$C$22, $C$13, 100%, $E$13)</f>
        <v>15.738</v>
      </c>
      <c r="K818" s="64">
        <f>15.7381 * CHOOSE(CONTROL!$C$22, $C$13, 100%, $E$13)</f>
        <v>15.738099999999999</v>
      </c>
    </row>
    <row r="819" spans="1:11" ht="15">
      <c r="A819" s="13">
        <v>66416</v>
      </c>
      <c r="B819" s="63">
        <f>13.8535 * CHOOSE(CONTROL!$C$22, $C$13, 100%, $E$13)</f>
        <v>13.8535</v>
      </c>
      <c r="C819" s="63">
        <f>13.8535 * CHOOSE(CONTROL!$C$22, $C$13, 100%, $E$13)</f>
        <v>13.8535</v>
      </c>
      <c r="D819" s="63">
        <f>13.8535 * CHOOSE(CONTROL!$C$22, $C$13, 100%, $E$13)</f>
        <v>13.8535</v>
      </c>
      <c r="E819" s="64">
        <f>15.7983 * CHOOSE(CONTROL!$C$22, $C$13, 100%, $E$13)</f>
        <v>15.798299999999999</v>
      </c>
      <c r="F819" s="64">
        <f>15.7983 * CHOOSE(CONTROL!$C$22, $C$13, 100%, $E$13)</f>
        <v>15.798299999999999</v>
      </c>
      <c r="G819" s="64">
        <f>15.7984 * CHOOSE(CONTROL!$C$22, $C$13, 100%, $E$13)</f>
        <v>15.798400000000001</v>
      </c>
      <c r="H819" s="64">
        <f>27.1084* CHOOSE(CONTROL!$C$22, $C$13, 100%, $E$13)</f>
        <v>27.1084</v>
      </c>
      <c r="I819" s="64">
        <f>27.1084 * CHOOSE(CONTROL!$C$22, $C$13, 100%, $E$13)</f>
        <v>27.1084</v>
      </c>
      <c r="J819" s="64">
        <f>15.7983 * CHOOSE(CONTROL!$C$22, $C$13, 100%, $E$13)</f>
        <v>15.798299999999999</v>
      </c>
      <c r="K819" s="64">
        <f>15.7984 * CHOOSE(CONTROL!$C$22, $C$13, 100%, $E$13)</f>
        <v>15.798400000000001</v>
      </c>
    </row>
    <row r="820" spans="1:11" ht="15">
      <c r="A820" s="13">
        <v>66446</v>
      </c>
      <c r="B820" s="63">
        <f>13.8535 * CHOOSE(CONTROL!$C$22, $C$13, 100%, $E$13)</f>
        <v>13.8535</v>
      </c>
      <c r="C820" s="63">
        <f>13.8535 * CHOOSE(CONTROL!$C$22, $C$13, 100%, $E$13)</f>
        <v>13.8535</v>
      </c>
      <c r="D820" s="63">
        <f>13.8535 * CHOOSE(CONTROL!$C$22, $C$13, 100%, $E$13)</f>
        <v>13.8535</v>
      </c>
      <c r="E820" s="64">
        <f>15.6529 * CHOOSE(CONTROL!$C$22, $C$13, 100%, $E$13)</f>
        <v>15.652900000000001</v>
      </c>
      <c r="F820" s="64">
        <f>15.6529 * CHOOSE(CONTROL!$C$22, $C$13, 100%, $E$13)</f>
        <v>15.652900000000001</v>
      </c>
      <c r="G820" s="64">
        <f>15.653 * CHOOSE(CONTROL!$C$22, $C$13, 100%, $E$13)</f>
        <v>15.653</v>
      </c>
      <c r="H820" s="64">
        <f>27.1648* CHOOSE(CONTROL!$C$22, $C$13, 100%, $E$13)</f>
        <v>27.1648</v>
      </c>
      <c r="I820" s="64">
        <f>27.1649 * CHOOSE(CONTROL!$C$22, $C$13, 100%, $E$13)</f>
        <v>27.164899999999999</v>
      </c>
      <c r="J820" s="64">
        <f>15.6529 * CHOOSE(CONTROL!$C$22, $C$13, 100%, $E$13)</f>
        <v>15.652900000000001</v>
      </c>
      <c r="K820" s="64">
        <f>15.653 * CHOOSE(CONTROL!$C$22, $C$13, 100%, $E$13)</f>
        <v>15.653</v>
      </c>
    </row>
    <row r="821" spans="1:11" ht="15">
      <c r="A821" s="13">
        <v>66477</v>
      </c>
      <c r="B821" s="63">
        <f>13.8432 * CHOOSE(CONTROL!$C$22, $C$13, 100%, $E$13)</f>
        <v>13.8432</v>
      </c>
      <c r="C821" s="63">
        <f>13.8432 * CHOOSE(CONTROL!$C$22, $C$13, 100%, $E$13)</f>
        <v>13.8432</v>
      </c>
      <c r="D821" s="63">
        <f>13.8432 * CHOOSE(CONTROL!$C$22, $C$13, 100%, $E$13)</f>
        <v>13.8432</v>
      </c>
      <c r="E821" s="64">
        <f>15.7582 * CHOOSE(CONTROL!$C$22, $C$13, 100%, $E$13)</f>
        <v>15.7582</v>
      </c>
      <c r="F821" s="64">
        <f>15.7582 * CHOOSE(CONTROL!$C$22, $C$13, 100%, $E$13)</f>
        <v>15.7582</v>
      </c>
      <c r="G821" s="64">
        <f>15.7583 * CHOOSE(CONTROL!$C$22, $C$13, 100%, $E$13)</f>
        <v>15.7583</v>
      </c>
      <c r="H821" s="64">
        <f>26.9959* CHOOSE(CONTROL!$C$22, $C$13, 100%, $E$13)</f>
        <v>26.995899999999999</v>
      </c>
      <c r="I821" s="64">
        <f>26.996 * CHOOSE(CONTROL!$C$22, $C$13, 100%, $E$13)</f>
        <v>26.995999999999999</v>
      </c>
      <c r="J821" s="64">
        <f>15.7582 * CHOOSE(CONTROL!$C$22, $C$13, 100%, $E$13)</f>
        <v>15.7582</v>
      </c>
      <c r="K821" s="64">
        <f>15.7583 * CHOOSE(CONTROL!$C$22, $C$13, 100%, $E$13)</f>
        <v>15.7583</v>
      </c>
    </row>
    <row r="822" spans="1:11" ht="15">
      <c r="A822" s="13">
        <v>66508</v>
      </c>
      <c r="B822" s="63">
        <f>13.8401 * CHOOSE(CONTROL!$C$22, $C$13, 100%, $E$13)</f>
        <v>13.8401</v>
      </c>
      <c r="C822" s="63">
        <f>13.8401 * CHOOSE(CONTROL!$C$22, $C$13, 100%, $E$13)</f>
        <v>13.8401</v>
      </c>
      <c r="D822" s="63">
        <f>13.8401 * CHOOSE(CONTROL!$C$22, $C$13, 100%, $E$13)</f>
        <v>13.8401</v>
      </c>
      <c r="E822" s="64">
        <f>15.4765 * CHOOSE(CONTROL!$C$22, $C$13, 100%, $E$13)</f>
        <v>15.4765</v>
      </c>
      <c r="F822" s="64">
        <f>15.4765 * CHOOSE(CONTROL!$C$22, $C$13, 100%, $E$13)</f>
        <v>15.4765</v>
      </c>
      <c r="G822" s="64">
        <f>15.4765 * CHOOSE(CONTROL!$C$22, $C$13, 100%, $E$13)</f>
        <v>15.4765</v>
      </c>
      <c r="H822" s="64">
        <f>27.0522* CHOOSE(CONTROL!$C$22, $C$13, 100%, $E$13)</f>
        <v>27.052199999999999</v>
      </c>
      <c r="I822" s="64">
        <f>27.0522 * CHOOSE(CONTROL!$C$22, $C$13, 100%, $E$13)</f>
        <v>27.052199999999999</v>
      </c>
      <c r="J822" s="64">
        <f>15.4765 * CHOOSE(CONTROL!$C$22, $C$13, 100%, $E$13)</f>
        <v>15.4765</v>
      </c>
      <c r="K822" s="64">
        <f>15.4765 * CHOOSE(CONTROL!$C$22, $C$13, 100%, $E$13)</f>
        <v>15.4765</v>
      </c>
    </row>
    <row r="823" spans="1:11" ht="15">
      <c r="A823" s="13">
        <v>66536</v>
      </c>
      <c r="B823" s="63">
        <f>13.8371 * CHOOSE(CONTROL!$C$22, $C$13, 100%, $E$13)</f>
        <v>13.8371</v>
      </c>
      <c r="C823" s="63">
        <f>13.8371 * CHOOSE(CONTROL!$C$22, $C$13, 100%, $E$13)</f>
        <v>13.8371</v>
      </c>
      <c r="D823" s="63">
        <f>13.8371 * CHOOSE(CONTROL!$C$22, $C$13, 100%, $E$13)</f>
        <v>13.8371</v>
      </c>
      <c r="E823" s="64">
        <f>15.6948 * CHOOSE(CONTROL!$C$22, $C$13, 100%, $E$13)</f>
        <v>15.694800000000001</v>
      </c>
      <c r="F823" s="64">
        <f>15.6948 * CHOOSE(CONTROL!$C$22, $C$13, 100%, $E$13)</f>
        <v>15.694800000000001</v>
      </c>
      <c r="G823" s="64">
        <f>15.6949 * CHOOSE(CONTROL!$C$22, $C$13, 100%, $E$13)</f>
        <v>15.694900000000001</v>
      </c>
      <c r="H823" s="64">
        <f>27.1085* CHOOSE(CONTROL!$C$22, $C$13, 100%, $E$13)</f>
        <v>27.108499999999999</v>
      </c>
      <c r="I823" s="64">
        <f>27.1086 * CHOOSE(CONTROL!$C$22, $C$13, 100%, $E$13)</f>
        <v>27.108599999999999</v>
      </c>
      <c r="J823" s="64">
        <f>15.6948 * CHOOSE(CONTROL!$C$22, $C$13, 100%, $E$13)</f>
        <v>15.694800000000001</v>
      </c>
      <c r="K823" s="64">
        <f>15.6949 * CHOOSE(CONTROL!$C$22, $C$13, 100%, $E$13)</f>
        <v>15.694900000000001</v>
      </c>
    </row>
    <row r="824" spans="1:11" ht="15">
      <c r="A824" s="13">
        <v>66567</v>
      </c>
      <c r="B824" s="63">
        <f>13.843 * CHOOSE(CONTROL!$C$22, $C$13, 100%, $E$13)</f>
        <v>13.843</v>
      </c>
      <c r="C824" s="63">
        <f>13.843 * CHOOSE(CONTROL!$C$22, $C$13, 100%, $E$13)</f>
        <v>13.843</v>
      </c>
      <c r="D824" s="63">
        <f>13.843 * CHOOSE(CONTROL!$C$22, $C$13, 100%, $E$13)</f>
        <v>13.843</v>
      </c>
      <c r="E824" s="64">
        <f>15.9273 * CHOOSE(CONTROL!$C$22, $C$13, 100%, $E$13)</f>
        <v>15.927300000000001</v>
      </c>
      <c r="F824" s="64">
        <f>15.9273 * CHOOSE(CONTROL!$C$22, $C$13, 100%, $E$13)</f>
        <v>15.927300000000001</v>
      </c>
      <c r="G824" s="64">
        <f>15.9274 * CHOOSE(CONTROL!$C$22, $C$13, 100%, $E$13)</f>
        <v>15.9274</v>
      </c>
      <c r="H824" s="64">
        <f>27.165* CHOOSE(CONTROL!$C$22, $C$13, 100%, $E$13)</f>
        <v>27.164999999999999</v>
      </c>
      <c r="I824" s="64">
        <f>27.1651 * CHOOSE(CONTROL!$C$22, $C$13, 100%, $E$13)</f>
        <v>27.165099999999999</v>
      </c>
      <c r="J824" s="64">
        <f>15.9273 * CHOOSE(CONTROL!$C$22, $C$13, 100%, $E$13)</f>
        <v>15.927300000000001</v>
      </c>
      <c r="K824" s="64">
        <f>15.9274 * CHOOSE(CONTROL!$C$22, $C$13, 100%, $E$13)</f>
        <v>15.9274</v>
      </c>
    </row>
    <row r="825" spans="1:11" ht="15">
      <c r="A825" s="13">
        <v>66597</v>
      </c>
      <c r="B825" s="63">
        <f>13.843 * CHOOSE(CONTROL!$C$22, $C$13, 100%, $E$13)</f>
        <v>13.843</v>
      </c>
      <c r="C825" s="63">
        <f>13.843 * CHOOSE(CONTROL!$C$22, $C$13, 100%, $E$13)</f>
        <v>13.843</v>
      </c>
      <c r="D825" s="63">
        <f>13.8511 * CHOOSE(CONTROL!$C$22, $C$13, 100%, $E$13)</f>
        <v>13.851100000000001</v>
      </c>
      <c r="E825" s="64">
        <f>16.0161 * CHOOSE(CONTROL!$C$22, $C$13, 100%, $E$13)</f>
        <v>16.016100000000002</v>
      </c>
      <c r="F825" s="64">
        <f>16.0161 * CHOOSE(CONTROL!$C$22, $C$13, 100%, $E$13)</f>
        <v>16.016100000000002</v>
      </c>
      <c r="G825" s="64">
        <f>16.026 * CHOOSE(CONTROL!$C$22, $C$13, 100%, $E$13)</f>
        <v>16.026</v>
      </c>
      <c r="H825" s="64">
        <f>27.2216* CHOOSE(CONTROL!$C$22, $C$13, 100%, $E$13)</f>
        <v>27.221599999999999</v>
      </c>
      <c r="I825" s="64">
        <f>27.2314 * CHOOSE(CONTROL!$C$22, $C$13, 100%, $E$13)</f>
        <v>27.231400000000001</v>
      </c>
      <c r="J825" s="64">
        <f>16.0161 * CHOOSE(CONTROL!$C$22, $C$13, 100%, $E$13)</f>
        <v>16.016100000000002</v>
      </c>
      <c r="K825" s="64">
        <f>16.026 * CHOOSE(CONTROL!$C$22, $C$13, 100%, $E$13)</f>
        <v>16.026</v>
      </c>
    </row>
    <row r="826" spans="1:11" ht="15">
      <c r="A826" s="13">
        <v>66628</v>
      </c>
      <c r="B826" s="63">
        <f>13.8491 * CHOOSE(CONTROL!$C$22, $C$13, 100%, $E$13)</f>
        <v>13.8491</v>
      </c>
      <c r="C826" s="63">
        <f>13.8491 * CHOOSE(CONTROL!$C$22, $C$13, 100%, $E$13)</f>
        <v>13.8491</v>
      </c>
      <c r="D826" s="63">
        <f>13.8572 * CHOOSE(CONTROL!$C$22, $C$13, 100%, $E$13)</f>
        <v>13.857200000000001</v>
      </c>
      <c r="E826" s="64">
        <f>15.9316 * CHOOSE(CONTROL!$C$22, $C$13, 100%, $E$13)</f>
        <v>15.9316</v>
      </c>
      <c r="F826" s="64">
        <f>15.9316 * CHOOSE(CONTROL!$C$22, $C$13, 100%, $E$13)</f>
        <v>15.9316</v>
      </c>
      <c r="G826" s="64">
        <f>15.9414 * CHOOSE(CONTROL!$C$22, $C$13, 100%, $E$13)</f>
        <v>15.9414</v>
      </c>
      <c r="H826" s="64">
        <f>27.2783* CHOOSE(CONTROL!$C$22, $C$13, 100%, $E$13)</f>
        <v>27.278300000000002</v>
      </c>
      <c r="I826" s="64">
        <f>27.2881 * CHOOSE(CONTROL!$C$22, $C$13, 100%, $E$13)</f>
        <v>27.2881</v>
      </c>
      <c r="J826" s="64">
        <f>15.9316 * CHOOSE(CONTROL!$C$22, $C$13, 100%, $E$13)</f>
        <v>15.9316</v>
      </c>
      <c r="K826" s="64">
        <f>15.9414 * CHOOSE(CONTROL!$C$22, $C$13, 100%, $E$13)</f>
        <v>15.9414</v>
      </c>
    </row>
    <row r="827" spans="1:11" ht="15">
      <c r="A827" s="13">
        <v>66658</v>
      </c>
      <c r="B827" s="63">
        <f>14.0592 * CHOOSE(CONTROL!$C$22, $C$13, 100%, $E$13)</f>
        <v>14.059200000000001</v>
      </c>
      <c r="C827" s="63">
        <f>14.0592 * CHOOSE(CONTROL!$C$22, $C$13, 100%, $E$13)</f>
        <v>14.059200000000001</v>
      </c>
      <c r="D827" s="63">
        <f>14.0674 * CHOOSE(CONTROL!$C$22, $C$13, 100%, $E$13)</f>
        <v>14.067399999999999</v>
      </c>
      <c r="E827" s="64">
        <f>16.1851 * CHOOSE(CONTROL!$C$22, $C$13, 100%, $E$13)</f>
        <v>16.185099999999998</v>
      </c>
      <c r="F827" s="64">
        <f>16.1851 * CHOOSE(CONTROL!$C$22, $C$13, 100%, $E$13)</f>
        <v>16.185099999999998</v>
      </c>
      <c r="G827" s="64">
        <f>16.1949 * CHOOSE(CONTROL!$C$22, $C$13, 100%, $E$13)</f>
        <v>16.194900000000001</v>
      </c>
      <c r="H827" s="64">
        <f>27.3351* CHOOSE(CONTROL!$C$22, $C$13, 100%, $E$13)</f>
        <v>27.335100000000001</v>
      </c>
      <c r="I827" s="64">
        <f>27.345 * CHOOSE(CONTROL!$C$22, $C$13, 100%, $E$13)</f>
        <v>27.344999999999999</v>
      </c>
      <c r="J827" s="64">
        <f>16.1851 * CHOOSE(CONTROL!$C$22, $C$13, 100%, $E$13)</f>
        <v>16.185099999999998</v>
      </c>
      <c r="K827" s="64">
        <f>16.1949 * CHOOSE(CONTROL!$C$22, $C$13, 100%, $E$13)</f>
        <v>16.194900000000001</v>
      </c>
    </row>
    <row r="828" spans="1:11" ht="15">
      <c r="A828" s="13">
        <v>66689</v>
      </c>
      <c r="B828" s="63">
        <f>14.0659 * CHOOSE(CONTROL!$C$22, $C$13, 100%, $E$13)</f>
        <v>14.065899999999999</v>
      </c>
      <c r="C828" s="63">
        <f>14.0659 * CHOOSE(CONTROL!$C$22, $C$13, 100%, $E$13)</f>
        <v>14.065899999999999</v>
      </c>
      <c r="D828" s="63">
        <f>14.074 * CHOOSE(CONTROL!$C$22, $C$13, 100%, $E$13)</f>
        <v>14.074</v>
      </c>
      <c r="E828" s="64">
        <f>15.9234 * CHOOSE(CONTROL!$C$22, $C$13, 100%, $E$13)</f>
        <v>15.923400000000001</v>
      </c>
      <c r="F828" s="64">
        <f>15.9234 * CHOOSE(CONTROL!$C$22, $C$13, 100%, $E$13)</f>
        <v>15.923400000000001</v>
      </c>
      <c r="G828" s="64">
        <f>15.9332 * CHOOSE(CONTROL!$C$22, $C$13, 100%, $E$13)</f>
        <v>15.933199999999999</v>
      </c>
      <c r="H828" s="64">
        <f>27.3921* CHOOSE(CONTROL!$C$22, $C$13, 100%, $E$13)</f>
        <v>27.392099999999999</v>
      </c>
      <c r="I828" s="64">
        <f>27.4019 * CHOOSE(CONTROL!$C$22, $C$13, 100%, $E$13)</f>
        <v>27.401900000000001</v>
      </c>
      <c r="J828" s="64">
        <f>15.9234 * CHOOSE(CONTROL!$C$22, $C$13, 100%, $E$13)</f>
        <v>15.923400000000001</v>
      </c>
      <c r="K828" s="64">
        <f>15.9332 * CHOOSE(CONTROL!$C$22, $C$13, 100%, $E$13)</f>
        <v>15.933199999999999</v>
      </c>
    </row>
    <row r="829" spans="1:11" ht="15">
      <c r="A829" s="13">
        <v>66720</v>
      </c>
      <c r="B829" s="63">
        <f>14.0629 * CHOOSE(CONTROL!$C$22, $C$13, 100%, $E$13)</f>
        <v>14.062900000000001</v>
      </c>
      <c r="C829" s="63">
        <f>14.0629 * CHOOSE(CONTROL!$C$22, $C$13, 100%, $E$13)</f>
        <v>14.062900000000001</v>
      </c>
      <c r="D829" s="63">
        <f>14.071 * CHOOSE(CONTROL!$C$22, $C$13, 100%, $E$13)</f>
        <v>14.071</v>
      </c>
      <c r="E829" s="64">
        <f>15.8917 * CHOOSE(CONTROL!$C$22, $C$13, 100%, $E$13)</f>
        <v>15.8917</v>
      </c>
      <c r="F829" s="64">
        <f>15.8917 * CHOOSE(CONTROL!$C$22, $C$13, 100%, $E$13)</f>
        <v>15.8917</v>
      </c>
      <c r="G829" s="64">
        <f>15.9015 * CHOOSE(CONTROL!$C$22, $C$13, 100%, $E$13)</f>
        <v>15.9015</v>
      </c>
      <c r="H829" s="64">
        <f>27.4491* CHOOSE(CONTROL!$C$22, $C$13, 100%, $E$13)</f>
        <v>27.449100000000001</v>
      </c>
      <c r="I829" s="64">
        <f>27.459 * CHOOSE(CONTROL!$C$22, $C$13, 100%, $E$13)</f>
        <v>27.459</v>
      </c>
      <c r="J829" s="64">
        <f>15.8917 * CHOOSE(CONTROL!$C$22, $C$13, 100%, $E$13)</f>
        <v>15.8917</v>
      </c>
      <c r="K829" s="64">
        <f>15.9015 * CHOOSE(CONTROL!$C$22, $C$13, 100%, $E$13)</f>
        <v>15.9015</v>
      </c>
    </row>
    <row r="830" spans="1:11" ht="15">
      <c r="A830" s="13">
        <v>66750</v>
      </c>
      <c r="B830" s="63">
        <f>14.0904 * CHOOSE(CONTROL!$C$22, $C$13, 100%, $E$13)</f>
        <v>14.090400000000001</v>
      </c>
      <c r="C830" s="63">
        <f>14.0904 * CHOOSE(CONTROL!$C$22, $C$13, 100%, $E$13)</f>
        <v>14.090400000000001</v>
      </c>
      <c r="D830" s="63">
        <f>14.0904 * CHOOSE(CONTROL!$C$22, $C$13, 100%, $E$13)</f>
        <v>14.090400000000001</v>
      </c>
      <c r="E830" s="64">
        <f>15.9967 * CHOOSE(CONTROL!$C$22, $C$13, 100%, $E$13)</f>
        <v>15.996700000000001</v>
      </c>
      <c r="F830" s="64">
        <f>15.9967 * CHOOSE(CONTROL!$C$22, $C$13, 100%, $E$13)</f>
        <v>15.996700000000001</v>
      </c>
      <c r="G830" s="64">
        <f>15.9967 * CHOOSE(CONTROL!$C$22, $C$13, 100%, $E$13)</f>
        <v>15.996700000000001</v>
      </c>
      <c r="H830" s="64">
        <f>27.5063* CHOOSE(CONTROL!$C$22, $C$13, 100%, $E$13)</f>
        <v>27.5063</v>
      </c>
      <c r="I830" s="64">
        <f>27.5064 * CHOOSE(CONTROL!$C$22, $C$13, 100%, $E$13)</f>
        <v>27.506399999999999</v>
      </c>
      <c r="J830" s="64">
        <f>15.9967 * CHOOSE(CONTROL!$C$22, $C$13, 100%, $E$13)</f>
        <v>15.996700000000001</v>
      </c>
      <c r="K830" s="64">
        <f>15.9967 * CHOOSE(CONTROL!$C$22, $C$13, 100%, $E$13)</f>
        <v>15.996700000000001</v>
      </c>
    </row>
    <row r="831" spans="1:11" ht="15">
      <c r="A831" s="13">
        <v>66781</v>
      </c>
      <c r="B831" s="63">
        <f>14.0934 * CHOOSE(CONTROL!$C$22, $C$13, 100%, $E$13)</f>
        <v>14.093400000000001</v>
      </c>
      <c r="C831" s="63">
        <f>14.0934 * CHOOSE(CONTROL!$C$22, $C$13, 100%, $E$13)</f>
        <v>14.093400000000001</v>
      </c>
      <c r="D831" s="63">
        <f>14.0934 * CHOOSE(CONTROL!$C$22, $C$13, 100%, $E$13)</f>
        <v>14.093400000000001</v>
      </c>
      <c r="E831" s="64">
        <f>16.058 * CHOOSE(CONTROL!$C$22, $C$13, 100%, $E$13)</f>
        <v>16.058</v>
      </c>
      <c r="F831" s="64">
        <f>16.058 * CHOOSE(CONTROL!$C$22, $C$13, 100%, $E$13)</f>
        <v>16.058</v>
      </c>
      <c r="G831" s="64">
        <f>16.0581 * CHOOSE(CONTROL!$C$22, $C$13, 100%, $E$13)</f>
        <v>16.0581</v>
      </c>
      <c r="H831" s="64">
        <f>27.5636* CHOOSE(CONTROL!$C$22, $C$13, 100%, $E$13)</f>
        <v>27.563600000000001</v>
      </c>
      <c r="I831" s="64">
        <f>27.5637 * CHOOSE(CONTROL!$C$22, $C$13, 100%, $E$13)</f>
        <v>27.563700000000001</v>
      </c>
      <c r="J831" s="64">
        <f>16.058 * CHOOSE(CONTROL!$C$22, $C$13, 100%, $E$13)</f>
        <v>16.058</v>
      </c>
      <c r="K831" s="64">
        <f>16.0581 * CHOOSE(CONTROL!$C$22, $C$13, 100%, $E$13)</f>
        <v>16.0581</v>
      </c>
    </row>
    <row r="832" spans="1:11" ht="15">
      <c r="A832" s="13">
        <v>66811</v>
      </c>
      <c r="B832" s="63">
        <f>14.0934 * CHOOSE(CONTROL!$C$22, $C$13, 100%, $E$13)</f>
        <v>14.093400000000001</v>
      </c>
      <c r="C832" s="63">
        <f>14.0934 * CHOOSE(CONTROL!$C$22, $C$13, 100%, $E$13)</f>
        <v>14.093400000000001</v>
      </c>
      <c r="D832" s="63">
        <f>14.0934 * CHOOSE(CONTROL!$C$22, $C$13, 100%, $E$13)</f>
        <v>14.093400000000001</v>
      </c>
      <c r="E832" s="64">
        <f>15.91 * CHOOSE(CONTROL!$C$22, $C$13, 100%, $E$13)</f>
        <v>15.91</v>
      </c>
      <c r="F832" s="64">
        <f>15.91 * CHOOSE(CONTROL!$C$22, $C$13, 100%, $E$13)</f>
        <v>15.91</v>
      </c>
      <c r="G832" s="64">
        <f>15.9101 * CHOOSE(CONTROL!$C$22, $C$13, 100%, $E$13)</f>
        <v>15.9101</v>
      </c>
      <c r="H832" s="64">
        <f>27.6211* CHOOSE(CONTROL!$C$22, $C$13, 100%, $E$13)</f>
        <v>27.621099999999998</v>
      </c>
      <c r="I832" s="64">
        <f>27.6211 * CHOOSE(CONTROL!$C$22, $C$13, 100%, $E$13)</f>
        <v>27.621099999999998</v>
      </c>
      <c r="J832" s="64">
        <f>15.91 * CHOOSE(CONTROL!$C$22, $C$13, 100%, $E$13)</f>
        <v>15.91</v>
      </c>
      <c r="K832" s="64">
        <f>15.9101 * CHOOSE(CONTROL!$C$22, $C$13, 100%, $E$13)</f>
        <v>15.9101</v>
      </c>
    </row>
    <row r="833" spans="1:11" ht="15">
      <c r="A833" s="13">
        <v>66842</v>
      </c>
      <c r="B833" s="63">
        <f>14.0787 * CHOOSE(CONTROL!$C$22, $C$13, 100%, $E$13)</f>
        <v>14.0787</v>
      </c>
      <c r="C833" s="63">
        <f>14.0787 * CHOOSE(CONTROL!$C$22, $C$13, 100%, $E$13)</f>
        <v>14.0787</v>
      </c>
      <c r="D833" s="63">
        <f>14.0787 * CHOOSE(CONTROL!$C$22, $C$13, 100%, $E$13)</f>
        <v>14.0787</v>
      </c>
      <c r="E833" s="64">
        <f>16.013 * CHOOSE(CONTROL!$C$22, $C$13, 100%, $E$13)</f>
        <v>16.013000000000002</v>
      </c>
      <c r="F833" s="64">
        <f>16.013 * CHOOSE(CONTROL!$C$22, $C$13, 100%, $E$13)</f>
        <v>16.013000000000002</v>
      </c>
      <c r="G833" s="64">
        <f>16.013 * CHOOSE(CONTROL!$C$22, $C$13, 100%, $E$13)</f>
        <v>16.013000000000002</v>
      </c>
      <c r="H833" s="64">
        <f>27.4418* CHOOSE(CONTROL!$C$22, $C$13, 100%, $E$13)</f>
        <v>27.441800000000001</v>
      </c>
      <c r="I833" s="64">
        <f>27.4419 * CHOOSE(CONTROL!$C$22, $C$13, 100%, $E$13)</f>
        <v>27.4419</v>
      </c>
      <c r="J833" s="64">
        <f>16.013 * CHOOSE(CONTROL!$C$22, $C$13, 100%, $E$13)</f>
        <v>16.013000000000002</v>
      </c>
      <c r="K833" s="64">
        <f>16.013 * CHOOSE(CONTROL!$C$22, $C$13, 100%, $E$13)</f>
        <v>16.013000000000002</v>
      </c>
    </row>
    <row r="834" spans="1:11" ht="15">
      <c r="A834" s="13">
        <v>66873</v>
      </c>
      <c r="B834" s="63">
        <f>14.0757 * CHOOSE(CONTROL!$C$22, $C$13, 100%, $E$13)</f>
        <v>14.075699999999999</v>
      </c>
      <c r="C834" s="63">
        <f>14.0757 * CHOOSE(CONTROL!$C$22, $C$13, 100%, $E$13)</f>
        <v>14.075699999999999</v>
      </c>
      <c r="D834" s="63">
        <f>14.0757 * CHOOSE(CONTROL!$C$22, $C$13, 100%, $E$13)</f>
        <v>14.075699999999999</v>
      </c>
      <c r="E834" s="64">
        <f>15.7262 * CHOOSE(CONTROL!$C$22, $C$13, 100%, $E$13)</f>
        <v>15.7262</v>
      </c>
      <c r="F834" s="64">
        <f>15.7262 * CHOOSE(CONTROL!$C$22, $C$13, 100%, $E$13)</f>
        <v>15.7262</v>
      </c>
      <c r="G834" s="64">
        <f>15.7263 * CHOOSE(CONTROL!$C$22, $C$13, 100%, $E$13)</f>
        <v>15.7263</v>
      </c>
      <c r="H834" s="64">
        <f>27.499* CHOOSE(CONTROL!$C$22, $C$13, 100%, $E$13)</f>
        <v>27.498999999999999</v>
      </c>
      <c r="I834" s="64">
        <f>27.4991 * CHOOSE(CONTROL!$C$22, $C$13, 100%, $E$13)</f>
        <v>27.499099999999999</v>
      </c>
      <c r="J834" s="64">
        <f>15.7262 * CHOOSE(CONTROL!$C$22, $C$13, 100%, $E$13)</f>
        <v>15.7262</v>
      </c>
      <c r="K834" s="64">
        <f>15.7263 * CHOOSE(CONTROL!$C$22, $C$13, 100%, $E$13)</f>
        <v>15.7263</v>
      </c>
    </row>
    <row r="835" spans="1:11" ht="15">
      <c r="A835" s="13">
        <v>66901</v>
      </c>
      <c r="B835" s="63">
        <f>14.0727 * CHOOSE(CONTROL!$C$22, $C$13, 100%, $E$13)</f>
        <v>14.072699999999999</v>
      </c>
      <c r="C835" s="63">
        <f>14.0727 * CHOOSE(CONTROL!$C$22, $C$13, 100%, $E$13)</f>
        <v>14.072699999999999</v>
      </c>
      <c r="D835" s="63">
        <f>14.0727 * CHOOSE(CONTROL!$C$22, $C$13, 100%, $E$13)</f>
        <v>14.072699999999999</v>
      </c>
      <c r="E835" s="64">
        <f>15.9485 * CHOOSE(CONTROL!$C$22, $C$13, 100%, $E$13)</f>
        <v>15.948499999999999</v>
      </c>
      <c r="F835" s="64">
        <f>15.9485 * CHOOSE(CONTROL!$C$22, $C$13, 100%, $E$13)</f>
        <v>15.948499999999999</v>
      </c>
      <c r="G835" s="64">
        <f>15.9486 * CHOOSE(CONTROL!$C$22, $C$13, 100%, $E$13)</f>
        <v>15.948600000000001</v>
      </c>
      <c r="H835" s="64">
        <f>27.5563* CHOOSE(CONTROL!$C$22, $C$13, 100%, $E$13)</f>
        <v>27.5563</v>
      </c>
      <c r="I835" s="64">
        <f>27.5563 * CHOOSE(CONTROL!$C$22, $C$13, 100%, $E$13)</f>
        <v>27.5563</v>
      </c>
      <c r="J835" s="64">
        <f>15.9485 * CHOOSE(CONTROL!$C$22, $C$13, 100%, $E$13)</f>
        <v>15.948499999999999</v>
      </c>
      <c r="K835" s="64">
        <f>15.9486 * CHOOSE(CONTROL!$C$22, $C$13, 100%, $E$13)</f>
        <v>15.948600000000001</v>
      </c>
    </row>
    <row r="836" spans="1:11" ht="15">
      <c r="A836" s="13">
        <v>66932</v>
      </c>
      <c r="B836" s="63">
        <f>14.0787 * CHOOSE(CONTROL!$C$22, $C$13, 100%, $E$13)</f>
        <v>14.0787</v>
      </c>
      <c r="C836" s="63">
        <f>14.0787 * CHOOSE(CONTROL!$C$22, $C$13, 100%, $E$13)</f>
        <v>14.0787</v>
      </c>
      <c r="D836" s="63">
        <f>14.0788 * CHOOSE(CONTROL!$C$22, $C$13, 100%, $E$13)</f>
        <v>14.078799999999999</v>
      </c>
      <c r="E836" s="64">
        <f>16.1852 * CHOOSE(CONTROL!$C$22, $C$13, 100%, $E$13)</f>
        <v>16.185199999999998</v>
      </c>
      <c r="F836" s="64">
        <f>16.1852 * CHOOSE(CONTROL!$C$22, $C$13, 100%, $E$13)</f>
        <v>16.185199999999998</v>
      </c>
      <c r="G836" s="64">
        <f>16.1853 * CHOOSE(CONTROL!$C$22, $C$13, 100%, $E$13)</f>
        <v>16.185300000000002</v>
      </c>
      <c r="H836" s="64">
        <f>27.6137* CHOOSE(CONTROL!$C$22, $C$13, 100%, $E$13)</f>
        <v>27.613700000000001</v>
      </c>
      <c r="I836" s="64">
        <f>27.6138 * CHOOSE(CONTROL!$C$22, $C$13, 100%, $E$13)</f>
        <v>27.613800000000001</v>
      </c>
      <c r="J836" s="64">
        <f>16.1852 * CHOOSE(CONTROL!$C$22, $C$13, 100%, $E$13)</f>
        <v>16.185199999999998</v>
      </c>
      <c r="K836" s="64">
        <f>16.1853 * CHOOSE(CONTROL!$C$22, $C$13, 100%, $E$13)</f>
        <v>16.185300000000002</v>
      </c>
    </row>
    <row r="837" spans="1:11" ht="15">
      <c r="A837" s="13">
        <v>66962</v>
      </c>
      <c r="B837" s="63">
        <f>14.0787 * CHOOSE(CONTROL!$C$22, $C$13, 100%, $E$13)</f>
        <v>14.0787</v>
      </c>
      <c r="C837" s="63">
        <f>14.0787 * CHOOSE(CONTROL!$C$22, $C$13, 100%, $E$13)</f>
        <v>14.0787</v>
      </c>
      <c r="D837" s="63">
        <f>14.0869 * CHOOSE(CONTROL!$C$22, $C$13, 100%, $E$13)</f>
        <v>14.0869</v>
      </c>
      <c r="E837" s="64">
        <f>16.2756 * CHOOSE(CONTROL!$C$22, $C$13, 100%, $E$13)</f>
        <v>16.275600000000001</v>
      </c>
      <c r="F837" s="64">
        <f>16.2756 * CHOOSE(CONTROL!$C$22, $C$13, 100%, $E$13)</f>
        <v>16.275600000000001</v>
      </c>
      <c r="G837" s="64">
        <f>16.2854 * CHOOSE(CONTROL!$C$22, $C$13, 100%, $E$13)</f>
        <v>16.285399999999999</v>
      </c>
      <c r="H837" s="64">
        <f>27.6712* CHOOSE(CONTROL!$C$22, $C$13, 100%, $E$13)</f>
        <v>27.671199999999999</v>
      </c>
      <c r="I837" s="64">
        <f>27.681 * CHOOSE(CONTROL!$C$22, $C$13, 100%, $E$13)</f>
        <v>27.681000000000001</v>
      </c>
      <c r="J837" s="64">
        <f>16.2756 * CHOOSE(CONTROL!$C$22, $C$13, 100%, $E$13)</f>
        <v>16.275600000000001</v>
      </c>
      <c r="K837" s="64">
        <f>16.2854 * CHOOSE(CONTROL!$C$22, $C$13, 100%, $E$13)</f>
        <v>16.285399999999999</v>
      </c>
    </row>
    <row r="838" spans="1:11" ht="15">
      <c r="A838" s="13">
        <v>66993</v>
      </c>
      <c r="B838" s="63">
        <f>14.0848 * CHOOSE(CONTROL!$C$22, $C$13, 100%, $E$13)</f>
        <v>14.0848</v>
      </c>
      <c r="C838" s="63">
        <f>14.0848 * CHOOSE(CONTROL!$C$22, $C$13, 100%, $E$13)</f>
        <v>14.0848</v>
      </c>
      <c r="D838" s="63">
        <f>14.0929 * CHOOSE(CONTROL!$C$22, $C$13, 100%, $E$13)</f>
        <v>14.0929</v>
      </c>
      <c r="E838" s="64">
        <f>16.1894 * CHOOSE(CONTROL!$C$22, $C$13, 100%, $E$13)</f>
        <v>16.189399999999999</v>
      </c>
      <c r="F838" s="64">
        <f>16.1894 * CHOOSE(CONTROL!$C$22, $C$13, 100%, $E$13)</f>
        <v>16.189399999999999</v>
      </c>
      <c r="G838" s="64">
        <f>16.1993 * CHOOSE(CONTROL!$C$22, $C$13, 100%, $E$13)</f>
        <v>16.199300000000001</v>
      </c>
      <c r="H838" s="64">
        <f>27.7288* CHOOSE(CONTROL!$C$22, $C$13, 100%, $E$13)</f>
        <v>27.7288</v>
      </c>
      <c r="I838" s="64">
        <f>27.7387 * CHOOSE(CONTROL!$C$22, $C$13, 100%, $E$13)</f>
        <v>27.738700000000001</v>
      </c>
      <c r="J838" s="64">
        <f>16.1894 * CHOOSE(CONTROL!$C$22, $C$13, 100%, $E$13)</f>
        <v>16.189399999999999</v>
      </c>
      <c r="K838" s="64">
        <f>16.1993 * CHOOSE(CONTROL!$C$22, $C$13, 100%, $E$13)</f>
        <v>16.199300000000001</v>
      </c>
    </row>
    <row r="839" spans="1:11" ht="15">
      <c r="A839" s="13">
        <v>67023</v>
      </c>
      <c r="B839" s="63">
        <f>14.2984 * CHOOSE(CONTROL!$C$22, $C$13, 100%, $E$13)</f>
        <v>14.298400000000001</v>
      </c>
      <c r="C839" s="63">
        <f>14.2984 * CHOOSE(CONTROL!$C$22, $C$13, 100%, $E$13)</f>
        <v>14.298400000000001</v>
      </c>
      <c r="D839" s="63">
        <f>14.3065 * CHOOSE(CONTROL!$C$22, $C$13, 100%, $E$13)</f>
        <v>14.3065</v>
      </c>
      <c r="E839" s="64">
        <f>16.4469 * CHOOSE(CONTROL!$C$22, $C$13, 100%, $E$13)</f>
        <v>16.446899999999999</v>
      </c>
      <c r="F839" s="64">
        <f>16.4469 * CHOOSE(CONTROL!$C$22, $C$13, 100%, $E$13)</f>
        <v>16.446899999999999</v>
      </c>
      <c r="G839" s="64">
        <f>16.4567 * CHOOSE(CONTROL!$C$22, $C$13, 100%, $E$13)</f>
        <v>16.456700000000001</v>
      </c>
      <c r="H839" s="64">
        <f>27.7866* CHOOSE(CONTROL!$C$22, $C$13, 100%, $E$13)</f>
        <v>27.7866</v>
      </c>
      <c r="I839" s="64">
        <f>27.7964 * CHOOSE(CONTROL!$C$22, $C$13, 100%, $E$13)</f>
        <v>27.796399999999998</v>
      </c>
      <c r="J839" s="64">
        <f>16.4469 * CHOOSE(CONTROL!$C$22, $C$13, 100%, $E$13)</f>
        <v>16.446899999999999</v>
      </c>
      <c r="K839" s="64">
        <f>16.4567 * CHOOSE(CONTROL!$C$22, $C$13, 100%, $E$13)</f>
        <v>16.456700000000001</v>
      </c>
    </row>
    <row r="840" spans="1:11" ht="15">
      <c r="A840" s="13">
        <v>67054</v>
      </c>
      <c r="B840" s="63">
        <f>14.3051 * CHOOSE(CONTROL!$C$22, $C$13, 100%, $E$13)</f>
        <v>14.305099999999999</v>
      </c>
      <c r="C840" s="63">
        <f>14.3051 * CHOOSE(CONTROL!$C$22, $C$13, 100%, $E$13)</f>
        <v>14.305099999999999</v>
      </c>
      <c r="D840" s="63">
        <f>14.3132 * CHOOSE(CONTROL!$C$22, $C$13, 100%, $E$13)</f>
        <v>14.3132</v>
      </c>
      <c r="E840" s="64">
        <f>16.1805 * CHOOSE(CONTROL!$C$22, $C$13, 100%, $E$13)</f>
        <v>16.180499999999999</v>
      </c>
      <c r="F840" s="64">
        <f>16.1805 * CHOOSE(CONTROL!$C$22, $C$13, 100%, $E$13)</f>
        <v>16.180499999999999</v>
      </c>
      <c r="G840" s="64">
        <f>16.1903 * CHOOSE(CONTROL!$C$22, $C$13, 100%, $E$13)</f>
        <v>16.190300000000001</v>
      </c>
      <c r="H840" s="64">
        <f>27.8445* CHOOSE(CONTROL!$C$22, $C$13, 100%, $E$13)</f>
        <v>27.8445</v>
      </c>
      <c r="I840" s="64">
        <f>27.8543 * CHOOSE(CONTROL!$C$22, $C$13, 100%, $E$13)</f>
        <v>27.854299999999999</v>
      </c>
      <c r="J840" s="64">
        <f>16.1805 * CHOOSE(CONTROL!$C$22, $C$13, 100%, $E$13)</f>
        <v>16.180499999999999</v>
      </c>
      <c r="K840" s="64">
        <f>16.1903 * CHOOSE(CONTROL!$C$22, $C$13, 100%, $E$13)</f>
        <v>16.190300000000001</v>
      </c>
    </row>
    <row r="841" spans="1:11" ht="15">
      <c r="A841" s="13">
        <v>67085</v>
      </c>
      <c r="B841" s="63">
        <f>14.3021 * CHOOSE(CONTROL!$C$22, $C$13, 100%, $E$13)</f>
        <v>14.302099999999999</v>
      </c>
      <c r="C841" s="63">
        <f>14.3021 * CHOOSE(CONTROL!$C$22, $C$13, 100%, $E$13)</f>
        <v>14.302099999999999</v>
      </c>
      <c r="D841" s="63">
        <f>14.3102 * CHOOSE(CONTROL!$C$22, $C$13, 100%, $E$13)</f>
        <v>14.3102</v>
      </c>
      <c r="E841" s="64">
        <f>16.1482 * CHOOSE(CONTROL!$C$22, $C$13, 100%, $E$13)</f>
        <v>16.148199999999999</v>
      </c>
      <c r="F841" s="64">
        <f>16.1482 * CHOOSE(CONTROL!$C$22, $C$13, 100%, $E$13)</f>
        <v>16.148199999999999</v>
      </c>
      <c r="G841" s="64">
        <f>16.1581 * CHOOSE(CONTROL!$C$22, $C$13, 100%, $E$13)</f>
        <v>16.158100000000001</v>
      </c>
      <c r="H841" s="64">
        <f>27.9025* CHOOSE(CONTROL!$C$22, $C$13, 100%, $E$13)</f>
        <v>27.9025</v>
      </c>
      <c r="I841" s="64">
        <f>27.9123 * CHOOSE(CONTROL!$C$22, $C$13, 100%, $E$13)</f>
        <v>27.912299999999998</v>
      </c>
      <c r="J841" s="64">
        <f>16.1482 * CHOOSE(CONTROL!$C$22, $C$13, 100%, $E$13)</f>
        <v>16.148199999999999</v>
      </c>
      <c r="K841" s="64">
        <f>16.1581 * CHOOSE(CONTROL!$C$22, $C$13, 100%, $E$13)</f>
        <v>16.158100000000001</v>
      </c>
    </row>
    <row r="842" spans="1:11" ht="15">
      <c r="A842" s="13">
        <v>67115</v>
      </c>
      <c r="B842" s="63">
        <f>14.3303 * CHOOSE(CONTROL!$C$22, $C$13, 100%, $E$13)</f>
        <v>14.330299999999999</v>
      </c>
      <c r="C842" s="63">
        <f>14.3303 * CHOOSE(CONTROL!$C$22, $C$13, 100%, $E$13)</f>
        <v>14.330299999999999</v>
      </c>
      <c r="D842" s="63">
        <f>14.3303 * CHOOSE(CONTROL!$C$22, $C$13, 100%, $E$13)</f>
        <v>14.330299999999999</v>
      </c>
      <c r="E842" s="64">
        <f>16.2553 * CHOOSE(CONTROL!$C$22, $C$13, 100%, $E$13)</f>
        <v>16.255299999999998</v>
      </c>
      <c r="F842" s="64">
        <f>16.2553 * CHOOSE(CONTROL!$C$22, $C$13, 100%, $E$13)</f>
        <v>16.255299999999998</v>
      </c>
      <c r="G842" s="64">
        <f>16.2554 * CHOOSE(CONTROL!$C$22, $C$13, 100%, $E$13)</f>
        <v>16.255400000000002</v>
      </c>
      <c r="H842" s="64">
        <f>27.9606* CHOOSE(CONTROL!$C$22, $C$13, 100%, $E$13)</f>
        <v>27.960599999999999</v>
      </c>
      <c r="I842" s="64">
        <f>27.9607 * CHOOSE(CONTROL!$C$22, $C$13, 100%, $E$13)</f>
        <v>27.960699999999999</v>
      </c>
      <c r="J842" s="64">
        <f>16.2553 * CHOOSE(CONTROL!$C$22, $C$13, 100%, $E$13)</f>
        <v>16.255299999999998</v>
      </c>
      <c r="K842" s="64">
        <f>16.2554 * CHOOSE(CONTROL!$C$22, $C$13, 100%, $E$13)</f>
        <v>16.255400000000002</v>
      </c>
    </row>
    <row r="843" spans="1:11" ht="15">
      <c r="A843" s="13">
        <v>67146</v>
      </c>
      <c r="B843" s="63">
        <f>14.3333 * CHOOSE(CONTROL!$C$22, $C$13, 100%, $E$13)</f>
        <v>14.333299999999999</v>
      </c>
      <c r="C843" s="63">
        <f>14.3333 * CHOOSE(CONTROL!$C$22, $C$13, 100%, $E$13)</f>
        <v>14.333299999999999</v>
      </c>
      <c r="D843" s="63">
        <f>14.3333 * CHOOSE(CONTROL!$C$22, $C$13, 100%, $E$13)</f>
        <v>14.333299999999999</v>
      </c>
      <c r="E843" s="64">
        <f>16.3177 * CHOOSE(CONTROL!$C$22, $C$13, 100%, $E$13)</f>
        <v>16.317699999999999</v>
      </c>
      <c r="F843" s="64">
        <f>16.3177 * CHOOSE(CONTROL!$C$22, $C$13, 100%, $E$13)</f>
        <v>16.317699999999999</v>
      </c>
      <c r="G843" s="64">
        <f>16.3177 * CHOOSE(CONTROL!$C$22, $C$13, 100%, $E$13)</f>
        <v>16.317699999999999</v>
      </c>
      <c r="H843" s="64">
        <f>28.0189* CHOOSE(CONTROL!$C$22, $C$13, 100%, $E$13)</f>
        <v>28.018899999999999</v>
      </c>
      <c r="I843" s="64">
        <f>28.019 * CHOOSE(CONTROL!$C$22, $C$13, 100%, $E$13)</f>
        <v>28.018999999999998</v>
      </c>
      <c r="J843" s="64">
        <f>16.3177 * CHOOSE(CONTROL!$C$22, $C$13, 100%, $E$13)</f>
        <v>16.317699999999999</v>
      </c>
      <c r="K843" s="64">
        <f>16.3177 * CHOOSE(CONTROL!$C$22, $C$13, 100%, $E$13)</f>
        <v>16.317699999999999</v>
      </c>
    </row>
    <row r="844" spans="1:11" ht="15">
      <c r="A844" s="13">
        <v>67176</v>
      </c>
      <c r="B844" s="63">
        <f>14.3333 * CHOOSE(CONTROL!$C$22, $C$13, 100%, $E$13)</f>
        <v>14.333299999999999</v>
      </c>
      <c r="C844" s="63">
        <f>14.3333 * CHOOSE(CONTROL!$C$22, $C$13, 100%, $E$13)</f>
        <v>14.333299999999999</v>
      </c>
      <c r="D844" s="63">
        <f>14.3333 * CHOOSE(CONTROL!$C$22, $C$13, 100%, $E$13)</f>
        <v>14.333299999999999</v>
      </c>
      <c r="E844" s="64">
        <f>16.1671 * CHOOSE(CONTROL!$C$22, $C$13, 100%, $E$13)</f>
        <v>16.167100000000001</v>
      </c>
      <c r="F844" s="64">
        <f>16.1671 * CHOOSE(CONTROL!$C$22, $C$13, 100%, $E$13)</f>
        <v>16.167100000000001</v>
      </c>
      <c r="G844" s="64">
        <f>16.1671 * CHOOSE(CONTROL!$C$22, $C$13, 100%, $E$13)</f>
        <v>16.167100000000001</v>
      </c>
      <c r="H844" s="64">
        <f>28.0773* CHOOSE(CONTROL!$C$22, $C$13, 100%, $E$13)</f>
        <v>28.077300000000001</v>
      </c>
      <c r="I844" s="64">
        <f>28.0774 * CHOOSE(CONTROL!$C$22, $C$13, 100%, $E$13)</f>
        <v>28.077400000000001</v>
      </c>
      <c r="J844" s="64">
        <f>16.1671 * CHOOSE(CONTROL!$C$22, $C$13, 100%, $E$13)</f>
        <v>16.167100000000001</v>
      </c>
      <c r="K844" s="64">
        <f>16.1671 * CHOOSE(CONTROL!$C$22, $C$13, 100%, $E$13)</f>
        <v>16.167100000000001</v>
      </c>
    </row>
    <row r="845" spans="1:11" ht="15">
      <c r="A845" s="13">
        <v>67207</v>
      </c>
      <c r="B845" s="63">
        <f>14.3143 * CHOOSE(CONTROL!$C$22, $C$13, 100%, $E$13)</f>
        <v>14.314299999999999</v>
      </c>
      <c r="C845" s="63">
        <f>14.3143 * CHOOSE(CONTROL!$C$22, $C$13, 100%, $E$13)</f>
        <v>14.314299999999999</v>
      </c>
      <c r="D845" s="63">
        <f>14.3143 * CHOOSE(CONTROL!$C$22, $C$13, 100%, $E$13)</f>
        <v>14.314299999999999</v>
      </c>
      <c r="E845" s="64">
        <f>16.2677 * CHOOSE(CONTROL!$C$22, $C$13, 100%, $E$13)</f>
        <v>16.267700000000001</v>
      </c>
      <c r="F845" s="64">
        <f>16.2677 * CHOOSE(CONTROL!$C$22, $C$13, 100%, $E$13)</f>
        <v>16.267700000000001</v>
      </c>
      <c r="G845" s="64">
        <f>16.2678 * CHOOSE(CONTROL!$C$22, $C$13, 100%, $E$13)</f>
        <v>16.267800000000001</v>
      </c>
      <c r="H845" s="64">
        <f>27.8877* CHOOSE(CONTROL!$C$22, $C$13, 100%, $E$13)</f>
        <v>27.887699999999999</v>
      </c>
      <c r="I845" s="64">
        <f>27.8878 * CHOOSE(CONTROL!$C$22, $C$13, 100%, $E$13)</f>
        <v>27.887799999999999</v>
      </c>
      <c r="J845" s="64">
        <f>16.2677 * CHOOSE(CONTROL!$C$22, $C$13, 100%, $E$13)</f>
        <v>16.267700000000001</v>
      </c>
      <c r="K845" s="64">
        <f>16.2678 * CHOOSE(CONTROL!$C$22, $C$13, 100%, $E$13)</f>
        <v>16.267800000000001</v>
      </c>
    </row>
    <row r="846" spans="1:11" ht="15">
      <c r="A846" s="13">
        <v>67238</v>
      </c>
      <c r="B846" s="63">
        <f>14.3113 * CHOOSE(CONTROL!$C$22, $C$13, 100%, $E$13)</f>
        <v>14.311299999999999</v>
      </c>
      <c r="C846" s="63">
        <f>14.3113 * CHOOSE(CONTROL!$C$22, $C$13, 100%, $E$13)</f>
        <v>14.311299999999999</v>
      </c>
      <c r="D846" s="63">
        <f>14.3113 * CHOOSE(CONTROL!$C$22, $C$13, 100%, $E$13)</f>
        <v>14.311299999999999</v>
      </c>
      <c r="E846" s="64">
        <f>15.976 * CHOOSE(CONTROL!$C$22, $C$13, 100%, $E$13)</f>
        <v>15.976000000000001</v>
      </c>
      <c r="F846" s="64">
        <f>15.976 * CHOOSE(CONTROL!$C$22, $C$13, 100%, $E$13)</f>
        <v>15.976000000000001</v>
      </c>
      <c r="G846" s="64">
        <f>15.9761 * CHOOSE(CONTROL!$C$22, $C$13, 100%, $E$13)</f>
        <v>15.976100000000001</v>
      </c>
      <c r="H846" s="64">
        <f>27.9458* CHOOSE(CONTROL!$C$22, $C$13, 100%, $E$13)</f>
        <v>27.945799999999998</v>
      </c>
      <c r="I846" s="64">
        <f>27.9459 * CHOOSE(CONTROL!$C$22, $C$13, 100%, $E$13)</f>
        <v>27.945900000000002</v>
      </c>
      <c r="J846" s="64">
        <f>15.976 * CHOOSE(CONTROL!$C$22, $C$13, 100%, $E$13)</f>
        <v>15.976000000000001</v>
      </c>
      <c r="K846" s="64">
        <f>15.9761 * CHOOSE(CONTROL!$C$22, $C$13, 100%, $E$13)</f>
        <v>15.976100000000001</v>
      </c>
    </row>
    <row r="847" spans="1:11" ht="15">
      <c r="A847" s="13">
        <v>67267</v>
      </c>
      <c r="B847" s="63">
        <f>14.3082 * CHOOSE(CONTROL!$C$22, $C$13, 100%, $E$13)</f>
        <v>14.308199999999999</v>
      </c>
      <c r="C847" s="63">
        <f>14.3082 * CHOOSE(CONTROL!$C$22, $C$13, 100%, $E$13)</f>
        <v>14.308199999999999</v>
      </c>
      <c r="D847" s="63">
        <f>14.3082 * CHOOSE(CONTROL!$C$22, $C$13, 100%, $E$13)</f>
        <v>14.308199999999999</v>
      </c>
      <c r="E847" s="64">
        <f>16.2022 * CHOOSE(CONTROL!$C$22, $C$13, 100%, $E$13)</f>
        <v>16.202200000000001</v>
      </c>
      <c r="F847" s="64">
        <f>16.2022 * CHOOSE(CONTROL!$C$22, $C$13, 100%, $E$13)</f>
        <v>16.202200000000001</v>
      </c>
      <c r="G847" s="64">
        <f>16.2022 * CHOOSE(CONTROL!$C$22, $C$13, 100%, $E$13)</f>
        <v>16.202200000000001</v>
      </c>
      <c r="H847" s="64">
        <f>28.004* CHOOSE(CONTROL!$C$22, $C$13, 100%, $E$13)</f>
        <v>28.004000000000001</v>
      </c>
      <c r="I847" s="64">
        <f>28.0041 * CHOOSE(CONTROL!$C$22, $C$13, 100%, $E$13)</f>
        <v>28.004100000000001</v>
      </c>
      <c r="J847" s="64">
        <f>16.2022 * CHOOSE(CONTROL!$C$22, $C$13, 100%, $E$13)</f>
        <v>16.202200000000001</v>
      </c>
      <c r="K847" s="64">
        <f>16.2022 * CHOOSE(CONTROL!$C$22, $C$13, 100%, $E$13)</f>
        <v>16.202200000000001</v>
      </c>
    </row>
    <row r="848" spans="1:11" ht="15">
      <c r="A848" s="13">
        <v>67298</v>
      </c>
      <c r="B848" s="63">
        <f>14.3145 * CHOOSE(CONTROL!$C$22, $C$13, 100%, $E$13)</f>
        <v>14.314500000000001</v>
      </c>
      <c r="C848" s="63">
        <f>14.3145 * CHOOSE(CONTROL!$C$22, $C$13, 100%, $E$13)</f>
        <v>14.314500000000001</v>
      </c>
      <c r="D848" s="63">
        <f>14.3145 * CHOOSE(CONTROL!$C$22, $C$13, 100%, $E$13)</f>
        <v>14.314500000000001</v>
      </c>
      <c r="E848" s="64">
        <f>16.4431 * CHOOSE(CONTROL!$C$22, $C$13, 100%, $E$13)</f>
        <v>16.443100000000001</v>
      </c>
      <c r="F848" s="64">
        <f>16.4431 * CHOOSE(CONTROL!$C$22, $C$13, 100%, $E$13)</f>
        <v>16.443100000000001</v>
      </c>
      <c r="G848" s="64">
        <f>16.4431 * CHOOSE(CONTROL!$C$22, $C$13, 100%, $E$13)</f>
        <v>16.443100000000001</v>
      </c>
      <c r="H848" s="64">
        <f>28.0624* CHOOSE(CONTROL!$C$22, $C$13, 100%, $E$13)</f>
        <v>28.0624</v>
      </c>
      <c r="I848" s="64">
        <f>28.0624 * CHOOSE(CONTROL!$C$22, $C$13, 100%, $E$13)</f>
        <v>28.0624</v>
      </c>
      <c r="J848" s="64">
        <f>16.4431 * CHOOSE(CONTROL!$C$22, $C$13, 100%, $E$13)</f>
        <v>16.443100000000001</v>
      </c>
      <c r="K848" s="64">
        <f>16.4431 * CHOOSE(CONTROL!$C$22, $C$13, 100%, $E$13)</f>
        <v>16.443100000000001</v>
      </c>
    </row>
    <row r="849" spans="1:11" ht="15">
      <c r="A849" s="13">
        <v>67328</v>
      </c>
      <c r="B849" s="63">
        <f>14.3145 * CHOOSE(CONTROL!$C$22, $C$13, 100%, $E$13)</f>
        <v>14.314500000000001</v>
      </c>
      <c r="C849" s="63">
        <f>14.3145 * CHOOSE(CONTROL!$C$22, $C$13, 100%, $E$13)</f>
        <v>14.314500000000001</v>
      </c>
      <c r="D849" s="63">
        <f>14.3226 * CHOOSE(CONTROL!$C$22, $C$13, 100%, $E$13)</f>
        <v>14.3226</v>
      </c>
      <c r="E849" s="64">
        <f>16.535 * CHOOSE(CONTROL!$C$22, $C$13, 100%, $E$13)</f>
        <v>16.535</v>
      </c>
      <c r="F849" s="64">
        <f>16.535 * CHOOSE(CONTROL!$C$22, $C$13, 100%, $E$13)</f>
        <v>16.535</v>
      </c>
      <c r="G849" s="64">
        <f>16.5448 * CHOOSE(CONTROL!$C$22, $C$13, 100%, $E$13)</f>
        <v>16.544799999999999</v>
      </c>
      <c r="H849" s="64">
        <f>28.1208* CHOOSE(CONTROL!$C$22, $C$13, 100%, $E$13)</f>
        <v>28.120799999999999</v>
      </c>
      <c r="I849" s="64">
        <f>28.1306 * CHOOSE(CONTROL!$C$22, $C$13, 100%, $E$13)</f>
        <v>28.130600000000001</v>
      </c>
      <c r="J849" s="64">
        <f>16.535 * CHOOSE(CONTROL!$C$22, $C$13, 100%, $E$13)</f>
        <v>16.535</v>
      </c>
      <c r="K849" s="64">
        <f>16.5448 * CHOOSE(CONTROL!$C$22, $C$13, 100%, $E$13)</f>
        <v>16.544799999999999</v>
      </c>
    </row>
    <row r="850" spans="1:11" ht="15">
      <c r="A850" s="13">
        <v>67359</v>
      </c>
      <c r="B850" s="63">
        <f>14.3206 * CHOOSE(CONTROL!$C$22, $C$13, 100%, $E$13)</f>
        <v>14.320600000000001</v>
      </c>
      <c r="C850" s="63">
        <f>14.3206 * CHOOSE(CONTROL!$C$22, $C$13, 100%, $E$13)</f>
        <v>14.320600000000001</v>
      </c>
      <c r="D850" s="63">
        <f>14.3287 * CHOOSE(CONTROL!$C$22, $C$13, 100%, $E$13)</f>
        <v>14.3287</v>
      </c>
      <c r="E850" s="64">
        <f>16.4473 * CHOOSE(CONTROL!$C$22, $C$13, 100%, $E$13)</f>
        <v>16.447299999999998</v>
      </c>
      <c r="F850" s="64">
        <f>16.4473 * CHOOSE(CONTROL!$C$22, $C$13, 100%, $E$13)</f>
        <v>16.447299999999998</v>
      </c>
      <c r="G850" s="64">
        <f>16.4571 * CHOOSE(CONTROL!$C$22, $C$13, 100%, $E$13)</f>
        <v>16.457100000000001</v>
      </c>
      <c r="H850" s="64">
        <f>28.1794* CHOOSE(CONTROL!$C$22, $C$13, 100%, $E$13)</f>
        <v>28.179400000000001</v>
      </c>
      <c r="I850" s="64">
        <f>28.1892 * CHOOSE(CONTROL!$C$22, $C$13, 100%, $E$13)</f>
        <v>28.1892</v>
      </c>
      <c r="J850" s="64">
        <f>16.4473 * CHOOSE(CONTROL!$C$22, $C$13, 100%, $E$13)</f>
        <v>16.447299999999998</v>
      </c>
      <c r="K850" s="64">
        <f>16.4571 * CHOOSE(CONTROL!$C$22, $C$13, 100%, $E$13)</f>
        <v>16.457100000000001</v>
      </c>
    </row>
    <row r="851" spans="1:11" ht="15">
      <c r="A851" s="13">
        <v>67389</v>
      </c>
      <c r="B851" s="63">
        <f>14.5376 * CHOOSE(CONTROL!$C$22, $C$13, 100%, $E$13)</f>
        <v>14.537599999999999</v>
      </c>
      <c r="C851" s="63">
        <f>14.5376 * CHOOSE(CONTROL!$C$22, $C$13, 100%, $E$13)</f>
        <v>14.537599999999999</v>
      </c>
      <c r="D851" s="63">
        <f>14.5457 * CHOOSE(CONTROL!$C$22, $C$13, 100%, $E$13)</f>
        <v>14.5457</v>
      </c>
      <c r="E851" s="64">
        <f>16.7087 * CHOOSE(CONTROL!$C$22, $C$13, 100%, $E$13)</f>
        <v>16.7087</v>
      </c>
      <c r="F851" s="64">
        <f>16.7087 * CHOOSE(CONTROL!$C$22, $C$13, 100%, $E$13)</f>
        <v>16.7087</v>
      </c>
      <c r="G851" s="64">
        <f>16.7185 * CHOOSE(CONTROL!$C$22, $C$13, 100%, $E$13)</f>
        <v>16.718499999999999</v>
      </c>
      <c r="H851" s="64">
        <f>28.2381* CHOOSE(CONTROL!$C$22, $C$13, 100%, $E$13)</f>
        <v>28.238099999999999</v>
      </c>
      <c r="I851" s="64">
        <f>28.2479 * CHOOSE(CONTROL!$C$22, $C$13, 100%, $E$13)</f>
        <v>28.247900000000001</v>
      </c>
      <c r="J851" s="64">
        <f>16.7087 * CHOOSE(CONTROL!$C$22, $C$13, 100%, $E$13)</f>
        <v>16.7087</v>
      </c>
      <c r="K851" s="64">
        <f>16.7185 * CHOOSE(CONTROL!$C$22, $C$13, 100%, $E$13)</f>
        <v>16.718499999999999</v>
      </c>
    </row>
    <row r="852" spans="1:11" ht="15">
      <c r="A852" s="13">
        <v>67420</v>
      </c>
      <c r="B852" s="63">
        <f>14.5443 * CHOOSE(CONTROL!$C$22, $C$13, 100%, $E$13)</f>
        <v>14.5443</v>
      </c>
      <c r="C852" s="63">
        <f>14.5443 * CHOOSE(CONTROL!$C$22, $C$13, 100%, $E$13)</f>
        <v>14.5443</v>
      </c>
      <c r="D852" s="63">
        <f>14.5524 * CHOOSE(CONTROL!$C$22, $C$13, 100%, $E$13)</f>
        <v>14.5524</v>
      </c>
      <c r="E852" s="64">
        <f>16.4375 * CHOOSE(CONTROL!$C$22, $C$13, 100%, $E$13)</f>
        <v>16.4375</v>
      </c>
      <c r="F852" s="64">
        <f>16.4375 * CHOOSE(CONTROL!$C$22, $C$13, 100%, $E$13)</f>
        <v>16.4375</v>
      </c>
      <c r="G852" s="64">
        <f>16.4474 * CHOOSE(CONTROL!$C$22, $C$13, 100%, $E$13)</f>
        <v>16.447399999999998</v>
      </c>
      <c r="H852" s="64">
        <f>28.2969* CHOOSE(CONTROL!$C$22, $C$13, 100%, $E$13)</f>
        <v>28.296900000000001</v>
      </c>
      <c r="I852" s="64">
        <f>28.3068 * CHOOSE(CONTROL!$C$22, $C$13, 100%, $E$13)</f>
        <v>28.306799999999999</v>
      </c>
      <c r="J852" s="64">
        <f>16.4375 * CHOOSE(CONTROL!$C$22, $C$13, 100%, $E$13)</f>
        <v>16.4375</v>
      </c>
      <c r="K852" s="64">
        <f>16.4474 * CHOOSE(CONTROL!$C$22, $C$13, 100%, $E$13)</f>
        <v>16.447399999999998</v>
      </c>
    </row>
    <row r="853" spans="1:11" ht="15">
      <c r="A853" s="13">
        <v>67451</v>
      </c>
      <c r="B853" s="63">
        <f>14.5412 * CHOOSE(CONTROL!$C$22, $C$13, 100%, $E$13)</f>
        <v>14.5412</v>
      </c>
      <c r="C853" s="63">
        <f>14.5412 * CHOOSE(CONTROL!$C$22, $C$13, 100%, $E$13)</f>
        <v>14.5412</v>
      </c>
      <c r="D853" s="63">
        <f>14.5494 * CHOOSE(CONTROL!$C$22, $C$13, 100%, $E$13)</f>
        <v>14.5494</v>
      </c>
      <c r="E853" s="64">
        <f>16.4048 * CHOOSE(CONTROL!$C$22, $C$13, 100%, $E$13)</f>
        <v>16.404800000000002</v>
      </c>
      <c r="F853" s="64">
        <f>16.4048 * CHOOSE(CONTROL!$C$22, $C$13, 100%, $E$13)</f>
        <v>16.404800000000002</v>
      </c>
      <c r="G853" s="64">
        <f>16.4146 * CHOOSE(CONTROL!$C$22, $C$13, 100%, $E$13)</f>
        <v>16.4146</v>
      </c>
      <c r="H853" s="64">
        <f>28.3559* CHOOSE(CONTROL!$C$22, $C$13, 100%, $E$13)</f>
        <v>28.355899999999998</v>
      </c>
      <c r="I853" s="64">
        <f>28.3657 * CHOOSE(CONTROL!$C$22, $C$13, 100%, $E$13)</f>
        <v>28.3657</v>
      </c>
      <c r="J853" s="64">
        <f>16.4048 * CHOOSE(CONTROL!$C$22, $C$13, 100%, $E$13)</f>
        <v>16.404800000000002</v>
      </c>
      <c r="K853" s="64">
        <f>16.4146 * CHOOSE(CONTROL!$C$22, $C$13, 100%, $E$13)</f>
        <v>16.4146</v>
      </c>
    </row>
    <row r="854" spans="1:11" ht="15">
      <c r="A854" s="13">
        <v>67481</v>
      </c>
      <c r="B854" s="63">
        <f>14.5702 * CHOOSE(CONTROL!$C$22, $C$13, 100%, $E$13)</f>
        <v>14.5702</v>
      </c>
      <c r="C854" s="63">
        <f>14.5702 * CHOOSE(CONTROL!$C$22, $C$13, 100%, $E$13)</f>
        <v>14.5702</v>
      </c>
      <c r="D854" s="63">
        <f>14.5702 * CHOOSE(CONTROL!$C$22, $C$13, 100%, $E$13)</f>
        <v>14.5702</v>
      </c>
      <c r="E854" s="64">
        <f>16.5139 * CHOOSE(CONTROL!$C$22, $C$13, 100%, $E$13)</f>
        <v>16.5139</v>
      </c>
      <c r="F854" s="64">
        <f>16.5139 * CHOOSE(CONTROL!$C$22, $C$13, 100%, $E$13)</f>
        <v>16.5139</v>
      </c>
      <c r="G854" s="64">
        <f>16.514 * CHOOSE(CONTROL!$C$22, $C$13, 100%, $E$13)</f>
        <v>16.513999999999999</v>
      </c>
      <c r="H854" s="64">
        <f>28.415* CHOOSE(CONTROL!$C$22, $C$13, 100%, $E$13)</f>
        <v>28.414999999999999</v>
      </c>
      <c r="I854" s="64">
        <f>28.415 * CHOOSE(CONTROL!$C$22, $C$13, 100%, $E$13)</f>
        <v>28.414999999999999</v>
      </c>
      <c r="J854" s="64">
        <f>16.5139 * CHOOSE(CONTROL!$C$22, $C$13, 100%, $E$13)</f>
        <v>16.5139</v>
      </c>
      <c r="K854" s="64">
        <f>16.514 * CHOOSE(CONTROL!$C$22, $C$13, 100%, $E$13)</f>
        <v>16.513999999999999</v>
      </c>
    </row>
    <row r="855" spans="1:11" ht="15">
      <c r="A855" s="13">
        <v>67512</v>
      </c>
      <c r="B855" s="63">
        <f>14.5733 * CHOOSE(CONTROL!$C$22, $C$13, 100%, $E$13)</f>
        <v>14.5733</v>
      </c>
      <c r="C855" s="63">
        <f>14.5733 * CHOOSE(CONTROL!$C$22, $C$13, 100%, $E$13)</f>
        <v>14.5733</v>
      </c>
      <c r="D855" s="63">
        <f>14.5733 * CHOOSE(CONTROL!$C$22, $C$13, 100%, $E$13)</f>
        <v>14.5733</v>
      </c>
      <c r="E855" s="64">
        <f>16.5773 * CHOOSE(CONTROL!$C$22, $C$13, 100%, $E$13)</f>
        <v>16.577300000000001</v>
      </c>
      <c r="F855" s="64">
        <f>16.5773 * CHOOSE(CONTROL!$C$22, $C$13, 100%, $E$13)</f>
        <v>16.577300000000001</v>
      </c>
      <c r="G855" s="64">
        <f>16.5774 * CHOOSE(CONTROL!$C$22, $C$13, 100%, $E$13)</f>
        <v>16.577400000000001</v>
      </c>
      <c r="H855" s="64">
        <f>28.4742* CHOOSE(CONTROL!$C$22, $C$13, 100%, $E$13)</f>
        <v>28.4742</v>
      </c>
      <c r="I855" s="64">
        <f>28.4742 * CHOOSE(CONTROL!$C$22, $C$13, 100%, $E$13)</f>
        <v>28.4742</v>
      </c>
      <c r="J855" s="64">
        <f>16.5773 * CHOOSE(CONTROL!$C$22, $C$13, 100%, $E$13)</f>
        <v>16.577300000000001</v>
      </c>
      <c r="K855" s="64">
        <f>16.5774 * CHOOSE(CONTROL!$C$22, $C$13, 100%, $E$13)</f>
        <v>16.577400000000001</v>
      </c>
    </row>
    <row r="856" spans="1:11" ht="15">
      <c r="A856" s="13">
        <v>67542</v>
      </c>
      <c r="B856" s="63">
        <f>14.5733 * CHOOSE(CONTROL!$C$22, $C$13, 100%, $E$13)</f>
        <v>14.5733</v>
      </c>
      <c r="C856" s="63">
        <f>14.5733 * CHOOSE(CONTROL!$C$22, $C$13, 100%, $E$13)</f>
        <v>14.5733</v>
      </c>
      <c r="D856" s="63">
        <f>14.5733 * CHOOSE(CONTROL!$C$22, $C$13, 100%, $E$13)</f>
        <v>14.5733</v>
      </c>
      <c r="E856" s="64">
        <f>16.4241 * CHOOSE(CONTROL!$C$22, $C$13, 100%, $E$13)</f>
        <v>16.424099999999999</v>
      </c>
      <c r="F856" s="64">
        <f>16.4241 * CHOOSE(CONTROL!$C$22, $C$13, 100%, $E$13)</f>
        <v>16.424099999999999</v>
      </c>
      <c r="G856" s="64">
        <f>16.4242 * CHOOSE(CONTROL!$C$22, $C$13, 100%, $E$13)</f>
        <v>16.424199999999999</v>
      </c>
      <c r="H856" s="64">
        <f>28.5335* CHOOSE(CONTROL!$C$22, $C$13, 100%, $E$13)</f>
        <v>28.5335</v>
      </c>
      <c r="I856" s="64">
        <f>28.5336 * CHOOSE(CONTROL!$C$22, $C$13, 100%, $E$13)</f>
        <v>28.5336</v>
      </c>
      <c r="J856" s="64">
        <f>16.4241 * CHOOSE(CONTROL!$C$22, $C$13, 100%, $E$13)</f>
        <v>16.424099999999999</v>
      </c>
      <c r="K856" s="64">
        <f>16.4242 * CHOOSE(CONTROL!$C$22, $C$13, 100%, $E$13)</f>
        <v>16.424199999999999</v>
      </c>
    </row>
    <row r="857" spans="1:11" ht="15">
      <c r="A857" s="13">
        <v>67573</v>
      </c>
      <c r="B857" s="63">
        <f>14.5499 * CHOOSE(CONTROL!$C$22, $C$13, 100%, $E$13)</f>
        <v>14.549899999999999</v>
      </c>
      <c r="C857" s="63">
        <f>14.5499 * CHOOSE(CONTROL!$C$22, $C$13, 100%, $E$13)</f>
        <v>14.549899999999999</v>
      </c>
      <c r="D857" s="63">
        <f>14.5499 * CHOOSE(CONTROL!$C$22, $C$13, 100%, $E$13)</f>
        <v>14.549899999999999</v>
      </c>
      <c r="E857" s="64">
        <f>16.5224 * CHOOSE(CONTROL!$C$22, $C$13, 100%, $E$13)</f>
        <v>16.522400000000001</v>
      </c>
      <c r="F857" s="64">
        <f>16.5224 * CHOOSE(CONTROL!$C$22, $C$13, 100%, $E$13)</f>
        <v>16.522400000000001</v>
      </c>
      <c r="G857" s="64">
        <f>16.5225 * CHOOSE(CONTROL!$C$22, $C$13, 100%, $E$13)</f>
        <v>16.522500000000001</v>
      </c>
      <c r="H857" s="64">
        <f>28.3336* CHOOSE(CONTROL!$C$22, $C$13, 100%, $E$13)</f>
        <v>28.333600000000001</v>
      </c>
      <c r="I857" s="64">
        <f>28.3337 * CHOOSE(CONTROL!$C$22, $C$13, 100%, $E$13)</f>
        <v>28.3337</v>
      </c>
      <c r="J857" s="64">
        <f>16.5224 * CHOOSE(CONTROL!$C$22, $C$13, 100%, $E$13)</f>
        <v>16.522400000000001</v>
      </c>
      <c r="K857" s="64">
        <f>16.5225 * CHOOSE(CONTROL!$C$22, $C$13, 100%, $E$13)</f>
        <v>16.522500000000001</v>
      </c>
    </row>
    <row r="858" spans="1:11" ht="15">
      <c r="A858" s="13">
        <v>67604</v>
      </c>
      <c r="B858" s="63">
        <f>14.5468 * CHOOSE(CONTROL!$C$22, $C$13, 100%, $E$13)</f>
        <v>14.546799999999999</v>
      </c>
      <c r="C858" s="63">
        <f>14.5468 * CHOOSE(CONTROL!$C$22, $C$13, 100%, $E$13)</f>
        <v>14.546799999999999</v>
      </c>
      <c r="D858" s="63">
        <f>14.5468 * CHOOSE(CONTROL!$C$22, $C$13, 100%, $E$13)</f>
        <v>14.546799999999999</v>
      </c>
      <c r="E858" s="64">
        <f>16.2258 * CHOOSE(CONTROL!$C$22, $C$13, 100%, $E$13)</f>
        <v>16.2258</v>
      </c>
      <c r="F858" s="64">
        <f>16.2258 * CHOOSE(CONTROL!$C$22, $C$13, 100%, $E$13)</f>
        <v>16.2258</v>
      </c>
      <c r="G858" s="64">
        <f>16.2259 * CHOOSE(CONTROL!$C$22, $C$13, 100%, $E$13)</f>
        <v>16.225899999999999</v>
      </c>
      <c r="H858" s="64">
        <f>28.3926* CHOOSE(CONTROL!$C$22, $C$13, 100%, $E$13)</f>
        <v>28.392600000000002</v>
      </c>
      <c r="I858" s="64">
        <f>28.3927 * CHOOSE(CONTROL!$C$22, $C$13, 100%, $E$13)</f>
        <v>28.392700000000001</v>
      </c>
      <c r="J858" s="64">
        <f>16.2258 * CHOOSE(CONTROL!$C$22, $C$13, 100%, $E$13)</f>
        <v>16.2258</v>
      </c>
      <c r="K858" s="64">
        <f>16.2259 * CHOOSE(CONTROL!$C$22, $C$13, 100%, $E$13)</f>
        <v>16.225899999999999</v>
      </c>
    </row>
    <row r="859" spans="1:11" ht="15">
      <c r="A859" s="13">
        <v>67632</v>
      </c>
      <c r="B859" s="63">
        <f>14.5438 * CHOOSE(CONTROL!$C$22, $C$13, 100%, $E$13)</f>
        <v>14.543799999999999</v>
      </c>
      <c r="C859" s="63">
        <f>14.5438 * CHOOSE(CONTROL!$C$22, $C$13, 100%, $E$13)</f>
        <v>14.543799999999999</v>
      </c>
      <c r="D859" s="63">
        <f>14.5438 * CHOOSE(CONTROL!$C$22, $C$13, 100%, $E$13)</f>
        <v>14.543799999999999</v>
      </c>
      <c r="E859" s="64">
        <f>16.4558 * CHOOSE(CONTROL!$C$22, $C$13, 100%, $E$13)</f>
        <v>16.4558</v>
      </c>
      <c r="F859" s="64">
        <f>16.4558 * CHOOSE(CONTROL!$C$22, $C$13, 100%, $E$13)</f>
        <v>16.4558</v>
      </c>
      <c r="G859" s="64">
        <f>16.4559 * CHOOSE(CONTROL!$C$22, $C$13, 100%, $E$13)</f>
        <v>16.4559</v>
      </c>
      <c r="H859" s="64">
        <f>28.4518* CHOOSE(CONTROL!$C$22, $C$13, 100%, $E$13)</f>
        <v>28.451799999999999</v>
      </c>
      <c r="I859" s="64">
        <f>28.4518 * CHOOSE(CONTROL!$C$22, $C$13, 100%, $E$13)</f>
        <v>28.451799999999999</v>
      </c>
      <c r="J859" s="64">
        <f>16.4558 * CHOOSE(CONTROL!$C$22, $C$13, 100%, $E$13)</f>
        <v>16.4558</v>
      </c>
      <c r="K859" s="64">
        <f>16.4559 * CHOOSE(CONTROL!$C$22, $C$13, 100%, $E$13)</f>
        <v>16.4559</v>
      </c>
    </row>
    <row r="860" spans="1:11" ht="15">
      <c r="A860" s="13">
        <v>67663</v>
      </c>
      <c r="B860" s="63">
        <f>14.5503 * CHOOSE(CONTROL!$C$22, $C$13, 100%, $E$13)</f>
        <v>14.5503</v>
      </c>
      <c r="C860" s="63">
        <f>14.5503 * CHOOSE(CONTROL!$C$22, $C$13, 100%, $E$13)</f>
        <v>14.5503</v>
      </c>
      <c r="D860" s="63">
        <f>14.5503 * CHOOSE(CONTROL!$C$22, $C$13, 100%, $E$13)</f>
        <v>14.5503</v>
      </c>
      <c r="E860" s="64">
        <f>16.7009 * CHOOSE(CONTROL!$C$22, $C$13, 100%, $E$13)</f>
        <v>16.700900000000001</v>
      </c>
      <c r="F860" s="64">
        <f>16.7009 * CHOOSE(CONTROL!$C$22, $C$13, 100%, $E$13)</f>
        <v>16.700900000000001</v>
      </c>
      <c r="G860" s="64">
        <f>16.701 * CHOOSE(CONTROL!$C$22, $C$13, 100%, $E$13)</f>
        <v>16.701000000000001</v>
      </c>
      <c r="H860" s="64">
        <f>28.511* CHOOSE(CONTROL!$C$22, $C$13, 100%, $E$13)</f>
        <v>28.510999999999999</v>
      </c>
      <c r="I860" s="64">
        <f>28.5111 * CHOOSE(CONTROL!$C$22, $C$13, 100%, $E$13)</f>
        <v>28.511099999999999</v>
      </c>
      <c r="J860" s="64">
        <f>16.7009 * CHOOSE(CONTROL!$C$22, $C$13, 100%, $E$13)</f>
        <v>16.700900000000001</v>
      </c>
      <c r="K860" s="64">
        <f>16.701 * CHOOSE(CONTROL!$C$22, $C$13, 100%, $E$13)</f>
        <v>16.701000000000001</v>
      </c>
    </row>
    <row r="861" spans="1:11" ht="15">
      <c r="A861" s="13">
        <v>67693</v>
      </c>
      <c r="B861" s="63">
        <f>14.5503 * CHOOSE(CONTROL!$C$22, $C$13, 100%, $E$13)</f>
        <v>14.5503</v>
      </c>
      <c r="C861" s="63">
        <f>14.5503 * CHOOSE(CONTROL!$C$22, $C$13, 100%, $E$13)</f>
        <v>14.5503</v>
      </c>
      <c r="D861" s="63">
        <f>14.5584 * CHOOSE(CONTROL!$C$22, $C$13, 100%, $E$13)</f>
        <v>14.558400000000001</v>
      </c>
      <c r="E861" s="64">
        <f>16.7944 * CHOOSE(CONTROL!$C$22, $C$13, 100%, $E$13)</f>
        <v>16.7944</v>
      </c>
      <c r="F861" s="64">
        <f>16.7944 * CHOOSE(CONTROL!$C$22, $C$13, 100%, $E$13)</f>
        <v>16.7944</v>
      </c>
      <c r="G861" s="64">
        <f>16.8042 * CHOOSE(CONTROL!$C$22, $C$13, 100%, $E$13)</f>
        <v>16.804200000000002</v>
      </c>
      <c r="H861" s="64">
        <f>28.5704* CHOOSE(CONTROL!$C$22, $C$13, 100%, $E$13)</f>
        <v>28.570399999999999</v>
      </c>
      <c r="I861" s="64">
        <f>28.5803 * CHOOSE(CONTROL!$C$22, $C$13, 100%, $E$13)</f>
        <v>28.580300000000001</v>
      </c>
      <c r="J861" s="64">
        <f>16.7944 * CHOOSE(CONTROL!$C$22, $C$13, 100%, $E$13)</f>
        <v>16.7944</v>
      </c>
      <c r="K861" s="64">
        <f>16.8042 * CHOOSE(CONTROL!$C$22, $C$13, 100%, $E$13)</f>
        <v>16.804200000000002</v>
      </c>
    </row>
    <row r="862" spans="1:11" ht="15">
      <c r="A862" s="13">
        <v>67724</v>
      </c>
      <c r="B862" s="63">
        <f>14.5564 * CHOOSE(CONTROL!$C$22, $C$13, 100%, $E$13)</f>
        <v>14.5564</v>
      </c>
      <c r="C862" s="63">
        <f>14.5564 * CHOOSE(CONTROL!$C$22, $C$13, 100%, $E$13)</f>
        <v>14.5564</v>
      </c>
      <c r="D862" s="63">
        <f>14.5645 * CHOOSE(CONTROL!$C$22, $C$13, 100%, $E$13)</f>
        <v>14.564500000000001</v>
      </c>
      <c r="E862" s="64">
        <f>16.7052 * CHOOSE(CONTROL!$C$22, $C$13, 100%, $E$13)</f>
        <v>16.705200000000001</v>
      </c>
      <c r="F862" s="64">
        <f>16.7052 * CHOOSE(CONTROL!$C$22, $C$13, 100%, $E$13)</f>
        <v>16.705200000000001</v>
      </c>
      <c r="G862" s="64">
        <f>16.715 * CHOOSE(CONTROL!$C$22, $C$13, 100%, $E$13)</f>
        <v>16.715</v>
      </c>
      <c r="H862" s="64">
        <f>28.63* CHOOSE(CONTROL!$C$22, $C$13, 100%, $E$13)</f>
        <v>28.63</v>
      </c>
      <c r="I862" s="64">
        <f>28.6398 * CHOOSE(CONTROL!$C$22, $C$13, 100%, $E$13)</f>
        <v>28.639800000000001</v>
      </c>
      <c r="J862" s="64">
        <f>16.7052 * CHOOSE(CONTROL!$C$22, $C$13, 100%, $E$13)</f>
        <v>16.705200000000001</v>
      </c>
      <c r="K862" s="64">
        <f>16.715 * CHOOSE(CONTROL!$C$22, $C$13, 100%, $E$13)</f>
        <v>16.715</v>
      </c>
    </row>
    <row r="863" spans="1:11" ht="15">
      <c r="A863" s="13">
        <v>67754</v>
      </c>
      <c r="B863" s="63">
        <f>14.7768 * CHOOSE(CONTROL!$C$22, $C$13, 100%, $E$13)</f>
        <v>14.7768</v>
      </c>
      <c r="C863" s="63">
        <f>14.7768 * CHOOSE(CONTROL!$C$22, $C$13, 100%, $E$13)</f>
        <v>14.7768</v>
      </c>
      <c r="D863" s="63">
        <f>14.7849 * CHOOSE(CONTROL!$C$22, $C$13, 100%, $E$13)</f>
        <v>14.7849</v>
      </c>
      <c r="E863" s="64">
        <f>16.9704 * CHOOSE(CONTROL!$C$22, $C$13, 100%, $E$13)</f>
        <v>16.970400000000001</v>
      </c>
      <c r="F863" s="64">
        <f>16.9704 * CHOOSE(CONTROL!$C$22, $C$13, 100%, $E$13)</f>
        <v>16.970400000000001</v>
      </c>
      <c r="G863" s="64">
        <f>16.9803 * CHOOSE(CONTROL!$C$22, $C$13, 100%, $E$13)</f>
        <v>16.9803</v>
      </c>
      <c r="H863" s="64">
        <f>28.6896* CHOOSE(CONTROL!$C$22, $C$13, 100%, $E$13)</f>
        <v>28.689599999999999</v>
      </c>
      <c r="I863" s="64">
        <f>28.6994 * CHOOSE(CONTROL!$C$22, $C$13, 100%, $E$13)</f>
        <v>28.699400000000001</v>
      </c>
      <c r="J863" s="64">
        <f>16.9704 * CHOOSE(CONTROL!$C$22, $C$13, 100%, $E$13)</f>
        <v>16.970400000000001</v>
      </c>
      <c r="K863" s="64">
        <f>16.9803 * CHOOSE(CONTROL!$C$22, $C$13, 100%, $E$13)</f>
        <v>16.9803</v>
      </c>
    </row>
    <row r="864" spans="1:11" ht="15">
      <c r="A864" s="13">
        <v>67785</v>
      </c>
      <c r="B864" s="63">
        <f>14.7835 * CHOOSE(CONTROL!$C$22, $C$13, 100%, $E$13)</f>
        <v>14.7835</v>
      </c>
      <c r="C864" s="63">
        <f>14.7835 * CHOOSE(CONTROL!$C$22, $C$13, 100%, $E$13)</f>
        <v>14.7835</v>
      </c>
      <c r="D864" s="63">
        <f>14.7916 * CHOOSE(CONTROL!$C$22, $C$13, 100%, $E$13)</f>
        <v>14.791600000000001</v>
      </c>
      <c r="E864" s="64">
        <f>16.6946 * CHOOSE(CONTROL!$C$22, $C$13, 100%, $E$13)</f>
        <v>16.694600000000001</v>
      </c>
      <c r="F864" s="64">
        <f>16.6946 * CHOOSE(CONTROL!$C$22, $C$13, 100%, $E$13)</f>
        <v>16.694600000000001</v>
      </c>
      <c r="G864" s="64">
        <f>16.7044 * CHOOSE(CONTROL!$C$22, $C$13, 100%, $E$13)</f>
        <v>16.7044</v>
      </c>
      <c r="H864" s="64">
        <f>28.7494* CHOOSE(CONTROL!$C$22, $C$13, 100%, $E$13)</f>
        <v>28.749400000000001</v>
      </c>
      <c r="I864" s="64">
        <f>28.7592 * CHOOSE(CONTROL!$C$22, $C$13, 100%, $E$13)</f>
        <v>28.7592</v>
      </c>
      <c r="J864" s="64">
        <f>16.6946 * CHOOSE(CONTROL!$C$22, $C$13, 100%, $E$13)</f>
        <v>16.694600000000001</v>
      </c>
      <c r="K864" s="64">
        <f>16.7044 * CHOOSE(CONTROL!$C$22, $C$13, 100%, $E$13)</f>
        <v>16.7044</v>
      </c>
    </row>
    <row r="865" spans="1:11" ht="15">
      <c r="A865" s="13">
        <v>67816</v>
      </c>
      <c r="B865" s="63">
        <f>14.7804 * CHOOSE(CONTROL!$C$22, $C$13, 100%, $E$13)</f>
        <v>14.7804</v>
      </c>
      <c r="C865" s="63">
        <f>14.7804 * CHOOSE(CONTROL!$C$22, $C$13, 100%, $E$13)</f>
        <v>14.7804</v>
      </c>
      <c r="D865" s="63">
        <f>14.7885 * CHOOSE(CONTROL!$C$22, $C$13, 100%, $E$13)</f>
        <v>14.788500000000001</v>
      </c>
      <c r="E865" s="64">
        <f>16.6613 * CHOOSE(CONTROL!$C$22, $C$13, 100%, $E$13)</f>
        <v>16.661300000000001</v>
      </c>
      <c r="F865" s="64">
        <f>16.6613 * CHOOSE(CONTROL!$C$22, $C$13, 100%, $E$13)</f>
        <v>16.661300000000001</v>
      </c>
      <c r="G865" s="64">
        <f>16.6712 * CHOOSE(CONTROL!$C$22, $C$13, 100%, $E$13)</f>
        <v>16.671199999999999</v>
      </c>
      <c r="H865" s="64">
        <f>28.8093* CHOOSE(CONTROL!$C$22, $C$13, 100%, $E$13)</f>
        <v>28.8093</v>
      </c>
      <c r="I865" s="64">
        <f>28.8191 * CHOOSE(CONTROL!$C$22, $C$13, 100%, $E$13)</f>
        <v>28.819099999999999</v>
      </c>
      <c r="J865" s="64">
        <f>16.6613 * CHOOSE(CONTROL!$C$22, $C$13, 100%, $E$13)</f>
        <v>16.661300000000001</v>
      </c>
      <c r="K865" s="64">
        <f>16.6712 * CHOOSE(CONTROL!$C$22, $C$13, 100%, $E$13)</f>
        <v>16.671199999999999</v>
      </c>
    </row>
    <row r="866" spans="1:11" ht="15">
      <c r="A866" s="13">
        <v>67846</v>
      </c>
      <c r="B866" s="63">
        <f>14.8102 * CHOOSE(CONTROL!$C$22, $C$13, 100%, $E$13)</f>
        <v>14.8102</v>
      </c>
      <c r="C866" s="63">
        <f>14.8102 * CHOOSE(CONTROL!$C$22, $C$13, 100%, $E$13)</f>
        <v>14.8102</v>
      </c>
      <c r="D866" s="63">
        <f>14.8102 * CHOOSE(CONTROL!$C$22, $C$13, 100%, $E$13)</f>
        <v>14.8102</v>
      </c>
      <c r="E866" s="64">
        <f>16.7726 * CHOOSE(CONTROL!$C$22, $C$13, 100%, $E$13)</f>
        <v>16.772600000000001</v>
      </c>
      <c r="F866" s="64">
        <f>16.7726 * CHOOSE(CONTROL!$C$22, $C$13, 100%, $E$13)</f>
        <v>16.772600000000001</v>
      </c>
      <c r="G866" s="64">
        <f>16.7727 * CHOOSE(CONTROL!$C$22, $C$13, 100%, $E$13)</f>
        <v>16.7727</v>
      </c>
      <c r="H866" s="64">
        <f>28.8693* CHOOSE(CONTROL!$C$22, $C$13, 100%, $E$13)</f>
        <v>28.869299999999999</v>
      </c>
      <c r="I866" s="64">
        <f>28.8694 * CHOOSE(CONTROL!$C$22, $C$13, 100%, $E$13)</f>
        <v>28.869399999999999</v>
      </c>
      <c r="J866" s="64">
        <f>16.7726 * CHOOSE(CONTROL!$C$22, $C$13, 100%, $E$13)</f>
        <v>16.772600000000001</v>
      </c>
      <c r="K866" s="64">
        <f>16.7727 * CHOOSE(CONTROL!$C$22, $C$13, 100%, $E$13)</f>
        <v>16.7727</v>
      </c>
    </row>
    <row r="867" spans="1:11" ht="15">
      <c r="A867" s="13">
        <v>67877</v>
      </c>
      <c r="B867" s="63">
        <f>14.8132 * CHOOSE(CONTROL!$C$22, $C$13, 100%, $E$13)</f>
        <v>14.8132</v>
      </c>
      <c r="C867" s="63">
        <f>14.8132 * CHOOSE(CONTROL!$C$22, $C$13, 100%, $E$13)</f>
        <v>14.8132</v>
      </c>
      <c r="D867" s="63">
        <f>14.8132 * CHOOSE(CONTROL!$C$22, $C$13, 100%, $E$13)</f>
        <v>14.8132</v>
      </c>
      <c r="E867" s="64">
        <f>16.837 * CHOOSE(CONTROL!$C$22, $C$13, 100%, $E$13)</f>
        <v>16.837</v>
      </c>
      <c r="F867" s="64">
        <f>16.837 * CHOOSE(CONTROL!$C$22, $C$13, 100%, $E$13)</f>
        <v>16.837</v>
      </c>
      <c r="G867" s="64">
        <f>16.8371 * CHOOSE(CONTROL!$C$22, $C$13, 100%, $E$13)</f>
        <v>16.8371</v>
      </c>
      <c r="H867" s="64">
        <f>28.9294* CHOOSE(CONTROL!$C$22, $C$13, 100%, $E$13)</f>
        <v>28.929400000000001</v>
      </c>
      <c r="I867" s="64">
        <f>28.9295 * CHOOSE(CONTROL!$C$22, $C$13, 100%, $E$13)</f>
        <v>28.929500000000001</v>
      </c>
      <c r="J867" s="64">
        <f>16.837 * CHOOSE(CONTROL!$C$22, $C$13, 100%, $E$13)</f>
        <v>16.837</v>
      </c>
      <c r="K867" s="64">
        <f>16.8371 * CHOOSE(CONTROL!$C$22, $C$13, 100%, $E$13)</f>
        <v>16.8371</v>
      </c>
    </row>
    <row r="868" spans="1:11" ht="15">
      <c r="A868" s="13">
        <v>67907</v>
      </c>
      <c r="B868" s="63">
        <f>14.8132 * CHOOSE(CONTROL!$C$22, $C$13, 100%, $E$13)</f>
        <v>14.8132</v>
      </c>
      <c r="C868" s="63">
        <f>14.8132 * CHOOSE(CONTROL!$C$22, $C$13, 100%, $E$13)</f>
        <v>14.8132</v>
      </c>
      <c r="D868" s="63">
        <f>14.8132 * CHOOSE(CONTROL!$C$22, $C$13, 100%, $E$13)</f>
        <v>14.8132</v>
      </c>
      <c r="E868" s="64">
        <f>16.6812 * CHOOSE(CONTROL!$C$22, $C$13, 100%, $E$13)</f>
        <v>16.6812</v>
      </c>
      <c r="F868" s="64">
        <f>16.6812 * CHOOSE(CONTROL!$C$22, $C$13, 100%, $E$13)</f>
        <v>16.6812</v>
      </c>
      <c r="G868" s="64">
        <f>16.6813 * CHOOSE(CONTROL!$C$22, $C$13, 100%, $E$13)</f>
        <v>16.6813</v>
      </c>
      <c r="H868" s="64">
        <f>28.9897* CHOOSE(CONTROL!$C$22, $C$13, 100%, $E$13)</f>
        <v>28.989699999999999</v>
      </c>
      <c r="I868" s="64">
        <f>28.9898 * CHOOSE(CONTROL!$C$22, $C$13, 100%, $E$13)</f>
        <v>28.989799999999999</v>
      </c>
      <c r="J868" s="64">
        <f>16.6812 * CHOOSE(CONTROL!$C$22, $C$13, 100%, $E$13)</f>
        <v>16.6812</v>
      </c>
      <c r="K868" s="64">
        <f>16.6813 * CHOOSE(CONTROL!$C$22, $C$13, 100%, $E$13)</f>
        <v>16.6813</v>
      </c>
    </row>
    <row r="869" spans="1:11" ht="15">
      <c r="A869" s="13">
        <v>67938</v>
      </c>
      <c r="B869" s="63">
        <f>14.7854 * CHOOSE(CONTROL!$C$22, $C$13, 100%, $E$13)</f>
        <v>14.785399999999999</v>
      </c>
      <c r="C869" s="63">
        <f>14.7854 * CHOOSE(CONTROL!$C$22, $C$13, 100%, $E$13)</f>
        <v>14.785399999999999</v>
      </c>
      <c r="D869" s="63">
        <f>14.7855 * CHOOSE(CONTROL!$C$22, $C$13, 100%, $E$13)</f>
        <v>14.785500000000001</v>
      </c>
      <c r="E869" s="64">
        <f>16.7771 * CHOOSE(CONTROL!$C$22, $C$13, 100%, $E$13)</f>
        <v>16.777100000000001</v>
      </c>
      <c r="F869" s="64">
        <f>16.7771 * CHOOSE(CONTROL!$C$22, $C$13, 100%, $E$13)</f>
        <v>16.777100000000001</v>
      </c>
      <c r="G869" s="64">
        <f>16.7772 * CHOOSE(CONTROL!$C$22, $C$13, 100%, $E$13)</f>
        <v>16.777200000000001</v>
      </c>
      <c r="H869" s="64">
        <f>28.7795* CHOOSE(CONTROL!$C$22, $C$13, 100%, $E$13)</f>
        <v>28.779499999999999</v>
      </c>
      <c r="I869" s="64">
        <f>28.7796 * CHOOSE(CONTROL!$C$22, $C$13, 100%, $E$13)</f>
        <v>28.779599999999999</v>
      </c>
      <c r="J869" s="64">
        <f>16.7771 * CHOOSE(CONTROL!$C$22, $C$13, 100%, $E$13)</f>
        <v>16.777100000000001</v>
      </c>
      <c r="K869" s="64">
        <f>16.7772 * CHOOSE(CONTROL!$C$22, $C$13, 100%, $E$13)</f>
        <v>16.777200000000001</v>
      </c>
    </row>
    <row r="870" spans="1:11" ht="15">
      <c r="A870" s="13">
        <v>67969</v>
      </c>
      <c r="B870" s="63">
        <f>14.7824 * CHOOSE(CONTROL!$C$22, $C$13, 100%, $E$13)</f>
        <v>14.782400000000001</v>
      </c>
      <c r="C870" s="63">
        <f>14.7824 * CHOOSE(CONTROL!$C$22, $C$13, 100%, $E$13)</f>
        <v>14.782400000000001</v>
      </c>
      <c r="D870" s="63">
        <f>14.7824 * CHOOSE(CONTROL!$C$22, $C$13, 100%, $E$13)</f>
        <v>14.782400000000001</v>
      </c>
      <c r="E870" s="64">
        <f>16.4756 * CHOOSE(CONTROL!$C$22, $C$13, 100%, $E$13)</f>
        <v>16.4756</v>
      </c>
      <c r="F870" s="64">
        <f>16.4756 * CHOOSE(CONTROL!$C$22, $C$13, 100%, $E$13)</f>
        <v>16.4756</v>
      </c>
      <c r="G870" s="64">
        <f>16.4757 * CHOOSE(CONTROL!$C$22, $C$13, 100%, $E$13)</f>
        <v>16.4757</v>
      </c>
      <c r="H870" s="64">
        <f>28.8394* CHOOSE(CONTROL!$C$22, $C$13, 100%, $E$13)</f>
        <v>28.839400000000001</v>
      </c>
      <c r="I870" s="64">
        <f>28.8395 * CHOOSE(CONTROL!$C$22, $C$13, 100%, $E$13)</f>
        <v>28.839500000000001</v>
      </c>
      <c r="J870" s="64">
        <f>16.4756 * CHOOSE(CONTROL!$C$22, $C$13, 100%, $E$13)</f>
        <v>16.4756</v>
      </c>
      <c r="K870" s="64">
        <f>16.4757 * CHOOSE(CONTROL!$C$22, $C$13, 100%, $E$13)</f>
        <v>16.4757</v>
      </c>
    </row>
    <row r="871" spans="1:11" ht="15">
      <c r="A871" s="13">
        <v>67997</v>
      </c>
      <c r="B871" s="63">
        <f>14.7794 * CHOOSE(CONTROL!$C$22, $C$13, 100%, $E$13)</f>
        <v>14.779400000000001</v>
      </c>
      <c r="C871" s="63">
        <f>14.7794 * CHOOSE(CONTROL!$C$22, $C$13, 100%, $E$13)</f>
        <v>14.779400000000001</v>
      </c>
      <c r="D871" s="63">
        <f>14.7794 * CHOOSE(CONTROL!$C$22, $C$13, 100%, $E$13)</f>
        <v>14.779400000000001</v>
      </c>
      <c r="E871" s="64">
        <f>16.7095 * CHOOSE(CONTROL!$C$22, $C$13, 100%, $E$13)</f>
        <v>16.709499999999998</v>
      </c>
      <c r="F871" s="64">
        <f>16.7095 * CHOOSE(CONTROL!$C$22, $C$13, 100%, $E$13)</f>
        <v>16.709499999999998</v>
      </c>
      <c r="G871" s="64">
        <f>16.7096 * CHOOSE(CONTROL!$C$22, $C$13, 100%, $E$13)</f>
        <v>16.709599999999998</v>
      </c>
      <c r="H871" s="64">
        <f>28.8995* CHOOSE(CONTROL!$C$22, $C$13, 100%, $E$13)</f>
        <v>28.8995</v>
      </c>
      <c r="I871" s="64">
        <f>28.8996 * CHOOSE(CONTROL!$C$22, $C$13, 100%, $E$13)</f>
        <v>28.8996</v>
      </c>
      <c r="J871" s="64">
        <f>16.7095 * CHOOSE(CONTROL!$C$22, $C$13, 100%, $E$13)</f>
        <v>16.709499999999998</v>
      </c>
      <c r="K871" s="64">
        <f>16.7096 * CHOOSE(CONTROL!$C$22, $C$13, 100%, $E$13)</f>
        <v>16.709599999999998</v>
      </c>
    </row>
    <row r="872" spans="1:11" ht="15">
      <c r="A872" s="13">
        <v>68028</v>
      </c>
      <c r="B872" s="63">
        <f>14.786 * CHOOSE(CONTROL!$C$22, $C$13, 100%, $E$13)</f>
        <v>14.786</v>
      </c>
      <c r="C872" s="63">
        <f>14.786 * CHOOSE(CONTROL!$C$22, $C$13, 100%, $E$13)</f>
        <v>14.786</v>
      </c>
      <c r="D872" s="63">
        <f>14.7861 * CHOOSE(CONTROL!$C$22, $C$13, 100%, $E$13)</f>
        <v>14.786099999999999</v>
      </c>
      <c r="E872" s="64">
        <f>16.9588 * CHOOSE(CONTROL!$C$22, $C$13, 100%, $E$13)</f>
        <v>16.9588</v>
      </c>
      <c r="F872" s="64">
        <f>16.9588 * CHOOSE(CONTROL!$C$22, $C$13, 100%, $E$13)</f>
        <v>16.9588</v>
      </c>
      <c r="G872" s="64">
        <f>16.9589 * CHOOSE(CONTROL!$C$22, $C$13, 100%, $E$13)</f>
        <v>16.9589</v>
      </c>
      <c r="H872" s="64">
        <f>28.9597* CHOOSE(CONTROL!$C$22, $C$13, 100%, $E$13)</f>
        <v>28.959700000000002</v>
      </c>
      <c r="I872" s="64">
        <f>28.9598 * CHOOSE(CONTROL!$C$22, $C$13, 100%, $E$13)</f>
        <v>28.959800000000001</v>
      </c>
      <c r="J872" s="64">
        <f>16.9588 * CHOOSE(CONTROL!$C$22, $C$13, 100%, $E$13)</f>
        <v>16.9588</v>
      </c>
      <c r="K872" s="64">
        <f>16.9589 * CHOOSE(CONTROL!$C$22, $C$13, 100%, $E$13)</f>
        <v>16.9589</v>
      </c>
    </row>
    <row r="873" spans="1:11" ht="15">
      <c r="A873" s="13">
        <v>68058</v>
      </c>
      <c r="B873" s="63">
        <f>14.786 * CHOOSE(CONTROL!$C$22, $C$13, 100%, $E$13)</f>
        <v>14.786</v>
      </c>
      <c r="C873" s="63">
        <f>14.786 * CHOOSE(CONTROL!$C$22, $C$13, 100%, $E$13)</f>
        <v>14.786</v>
      </c>
      <c r="D873" s="63">
        <f>14.7942 * CHOOSE(CONTROL!$C$22, $C$13, 100%, $E$13)</f>
        <v>14.7942</v>
      </c>
      <c r="E873" s="64">
        <f>17.0538 * CHOOSE(CONTROL!$C$22, $C$13, 100%, $E$13)</f>
        <v>17.053799999999999</v>
      </c>
      <c r="F873" s="64">
        <f>17.0538 * CHOOSE(CONTROL!$C$22, $C$13, 100%, $E$13)</f>
        <v>17.053799999999999</v>
      </c>
      <c r="G873" s="64">
        <f>17.0637 * CHOOSE(CONTROL!$C$22, $C$13, 100%, $E$13)</f>
        <v>17.063700000000001</v>
      </c>
      <c r="H873" s="64">
        <f>29.0201* CHOOSE(CONTROL!$C$22, $C$13, 100%, $E$13)</f>
        <v>29.020099999999999</v>
      </c>
      <c r="I873" s="64">
        <f>29.0299 * CHOOSE(CONTROL!$C$22, $C$13, 100%, $E$13)</f>
        <v>29.029900000000001</v>
      </c>
      <c r="J873" s="64">
        <f>17.0538 * CHOOSE(CONTROL!$C$22, $C$13, 100%, $E$13)</f>
        <v>17.053799999999999</v>
      </c>
      <c r="K873" s="64">
        <f>17.0637 * CHOOSE(CONTROL!$C$22, $C$13, 100%, $E$13)</f>
        <v>17.063700000000001</v>
      </c>
    </row>
    <row r="874" spans="1:11" ht="15">
      <c r="A874" s="13">
        <v>68089</v>
      </c>
      <c r="B874" s="63">
        <f>14.7921 * CHOOSE(CONTROL!$C$22, $C$13, 100%, $E$13)</f>
        <v>14.7921</v>
      </c>
      <c r="C874" s="63">
        <f>14.7921 * CHOOSE(CONTROL!$C$22, $C$13, 100%, $E$13)</f>
        <v>14.7921</v>
      </c>
      <c r="D874" s="63">
        <f>14.8002 * CHOOSE(CONTROL!$C$22, $C$13, 100%, $E$13)</f>
        <v>14.8002</v>
      </c>
      <c r="E874" s="64">
        <f>16.963 * CHOOSE(CONTROL!$C$22, $C$13, 100%, $E$13)</f>
        <v>16.963000000000001</v>
      </c>
      <c r="F874" s="64">
        <f>16.963 * CHOOSE(CONTROL!$C$22, $C$13, 100%, $E$13)</f>
        <v>16.963000000000001</v>
      </c>
      <c r="G874" s="64">
        <f>16.9728 * CHOOSE(CONTROL!$C$22, $C$13, 100%, $E$13)</f>
        <v>16.972799999999999</v>
      </c>
      <c r="H874" s="64">
        <f>29.0805* CHOOSE(CONTROL!$C$22, $C$13, 100%, $E$13)</f>
        <v>29.080500000000001</v>
      </c>
      <c r="I874" s="64">
        <f>29.0903 * CHOOSE(CONTROL!$C$22, $C$13, 100%, $E$13)</f>
        <v>29.090299999999999</v>
      </c>
      <c r="J874" s="64">
        <f>16.963 * CHOOSE(CONTROL!$C$22, $C$13, 100%, $E$13)</f>
        <v>16.963000000000001</v>
      </c>
      <c r="K874" s="64">
        <f>16.9728 * CHOOSE(CONTROL!$C$22, $C$13, 100%, $E$13)</f>
        <v>16.972799999999999</v>
      </c>
    </row>
    <row r="875" spans="1:11" ht="15">
      <c r="A875" s="13">
        <v>68119</v>
      </c>
      <c r="B875" s="63">
        <f>15.016 * CHOOSE(CONTROL!$C$22, $C$13, 100%, $E$13)</f>
        <v>15.016</v>
      </c>
      <c r="C875" s="63">
        <f>15.016 * CHOOSE(CONTROL!$C$22, $C$13, 100%, $E$13)</f>
        <v>15.016</v>
      </c>
      <c r="D875" s="63">
        <f>15.0241 * CHOOSE(CONTROL!$C$22, $C$13, 100%, $E$13)</f>
        <v>15.024100000000001</v>
      </c>
      <c r="E875" s="64">
        <f>17.2322 * CHOOSE(CONTROL!$C$22, $C$13, 100%, $E$13)</f>
        <v>17.232199999999999</v>
      </c>
      <c r="F875" s="64">
        <f>17.2322 * CHOOSE(CONTROL!$C$22, $C$13, 100%, $E$13)</f>
        <v>17.232199999999999</v>
      </c>
      <c r="G875" s="64">
        <f>17.242 * CHOOSE(CONTROL!$C$22, $C$13, 100%, $E$13)</f>
        <v>17.242000000000001</v>
      </c>
      <c r="H875" s="64">
        <f>29.1411* CHOOSE(CONTROL!$C$22, $C$13, 100%, $E$13)</f>
        <v>29.141100000000002</v>
      </c>
      <c r="I875" s="64">
        <f>29.1509 * CHOOSE(CONTROL!$C$22, $C$13, 100%, $E$13)</f>
        <v>29.1509</v>
      </c>
      <c r="J875" s="64">
        <f>17.2322 * CHOOSE(CONTROL!$C$22, $C$13, 100%, $E$13)</f>
        <v>17.232199999999999</v>
      </c>
      <c r="K875" s="64">
        <f>17.242 * CHOOSE(CONTROL!$C$22, $C$13, 100%, $E$13)</f>
        <v>17.242000000000001</v>
      </c>
    </row>
    <row r="876" spans="1:11" ht="15">
      <c r="A876" s="13">
        <v>68150</v>
      </c>
      <c r="B876" s="63">
        <f>15.0226 * CHOOSE(CONTROL!$C$22, $C$13, 100%, $E$13)</f>
        <v>15.022600000000001</v>
      </c>
      <c r="C876" s="63">
        <f>15.0226 * CHOOSE(CONTROL!$C$22, $C$13, 100%, $E$13)</f>
        <v>15.022600000000001</v>
      </c>
      <c r="D876" s="63">
        <f>15.0308 * CHOOSE(CONTROL!$C$22, $C$13, 100%, $E$13)</f>
        <v>15.030799999999999</v>
      </c>
      <c r="E876" s="64">
        <f>16.9517 * CHOOSE(CONTROL!$C$22, $C$13, 100%, $E$13)</f>
        <v>16.951699999999999</v>
      </c>
      <c r="F876" s="64">
        <f>16.9517 * CHOOSE(CONTROL!$C$22, $C$13, 100%, $E$13)</f>
        <v>16.951699999999999</v>
      </c>
      <c r="G876" s="64">
        <f>16.9615 * CHOOSE(CONTROL!$C$22, $C$13, 100%, $E$13)</f>
        <v>16.961500000000001</v>
      </c>
      <c r="H876" s="64">
        <f>29.2018* CHOOSE(CONTROL!$C$22, $C$13, 100%, $E$13)</f>
        <v>29.201799999999999</v>
      </c>
      <c r="I876" s="64">
        <f>29.2116 * CHOOSE(CONTROL!$C$22, $C$13, 100%, $E$13)</f>
        <v>29.211600000000001</v>
      </c>
      <c r="J876" s="64">
        <f>16.9517 * CHOOSE(CONTROL!$C$22, $C$13, 100%, $E$13)</f>
        <v>16.951699999999999</v>
      </c>
      <c r="K876" s="64">
        <f>16.9615 * CHOOSE(CONTROL!$C$22, $C$13, 100%, $E$13)</f>
        <v>16.961500000000001</v>
      </c>
    </row>
    <row r="877" spans="1:11" ht="15">
      <c r="A877" s="13">
        <v>68181</v>
      </c>
      <c r="B877" s="63">
        <f>15.0196 * CHOOSE(CONTROL!$C$22, $C$13, 100%, $E$13)</f>
        <v>15.019600000000001</v>
      </c>
      <c r="C877" s="63">
        <f>15.0196 * CHOOSE(CONTROL!$C$22, $C$13, 100%, $E$13)</f>
        <v>15.019600000000001</v>
      </c>
      <c r="D877" s="63">
        <f>15.0277 * CHOOSE(CONTROL!$C$22, $C$13, 100%, $E$13)</f>
        <v>15.027699999999999</v>
      </c>
      <c r="E877" s="64">
        <f>16.9179 * CHOOSE(CONTROL!$C$22, $C$13, 100%, $E$13)</f>
        <v>16.917899999999999</v>
      </c>
      <c r="F877" s="64">
        <f>16.9179 * CHOOSE(CONTROL!$C$22, $C$13, 100%, $E$13)</f>
        <v>16.917899999999999</v>
      </c>
      <c r="G877" s="64">
        <f>16.9277 * CHOOSE(CONTROL!$C$22, $C$13, 100%, $E$13)</f>
        <v>16.927700000000002</v>
      </c>
      <c r="H877" s="64">
        <f>29.2626* CHOOSE(CONTROL!$C$22, $C$13, 100%, $E$13)</f>
        <v>29.262599999999999</v>
      </c>
      <c r="I877" s="64">
        <f>29.2725 * CHOOSE(CONTROL!$C$22, $C$13, 100%, $E$13)</f>
        <v>29.272500000000001</v>
      </c>
      <c r="J877" s="64">
        <f>16.9179 * CHOOSE(CONTROL!$C$22, $C$13, 100%, $E$13)</f>
        <v>16.917899999999999</v>
      </c>
      <c r="K877" s="64">
        <f>16.9277 * CHOOSE(CONTROL!$C$22, $C$13, 100%, $E$13)</f>
        <v>16.927700000000002</v>
      </c>
    </row>
    <row r="878" spans="1:11" ht="15">
      <c r="A878" s="13">
        <v>68211</v>
      </c>
      <c r="B878" s="63">
        <f>15.0501 * CHOOSE(CONTROL!$C$22, $C$13, 100%, $E$13)</f>
        <v>15.0501</v>
      </c>
      <c r="C878" s="63">
        <f>15.0501 * CHOOSE(CONTROL!$C$22, $C$13, 100%, $E$13)</f>
        <v>15.0501</v>
      </c>
      <c r="D878" s="63">
        <f>15.0501 * CHOOSE(CONTROL!$C$22, $C$13, 100%, $E$13)</f>
        <v>15.0501</v>
      </c>
      <c r="E878" s="64">
        <f>17.0312 * CHOOSE(CONTROL!$C$22, $C$13, 100%, $E$13)</f>
        <v>17.031199999999998</v>
      </c>
      <c r="F878" s="64">
        <f>17.0312 * CHOOSE(CONTROL!$C$22, $C$13, 100%, $E$13)</f>
        <v>17.031199999999998</v>
      </c>
      <c r="G878" s="64">
        <f>17.0313 * CHOOSE(CONTROL!$C$22, $C$13, 100%, $E$13)</f>
        <v>17.031300000000002</v>
      </c>
      <c r="H878" s="64">
        <f>29.3236* CHOOSE(CONTROL!$C$22, $C$13, 100%, $E$13)</f>
        <v>29.323599999999999</v>
      </c>
      <c r="I878" s="64">
        <f>29.3237 * CHOOSE(CONTROL!$C$22, $C$13, 100%, $E$13)</f>
        <v>29.323699999999999</v>
      </c>
      <c r="J878" s="64">
        <f>17.0312 * CHOOSE(CONTROL!$C$22, $C$13, 100%, $E$13)</f>
        <v>17.031199999999998</v>
      </c>
      <c r="K878" s="64">
        <f>17.0313 * CHOOSE(CONTROL!$C$22, $C$13, 100%, $E$13)</f>
        <v>17.031300000000002</v>
      </c>
    </row>
    <row r="879" spans="1:11" ht="15">
      <c r="A879" s="13">
        <v>68242</v>
      </c>
      <c r="B879" s="63">
        <f>15.0532 * CHOOSE(CONTROL!$C$22, $C$13, 100%, $E$13)</f>
        <v>15.0532</v>
      </c>
      <c r="C879" s="63">
        <f>15.0532 * CHOOSE(CONTROL!$C$22, $C$13, 100%, $E$13)</f>
        <v>15.0532</v>
      </c>
      <c r="D879" s="63">
        <f>15.0532 * CHOOSE(CONTROL!$C$22, $C$13, 100%, $E$13)</f>
        <v>15.0532</v>
      </c>
      <c r="E879" s="64">
        <f>17.0967 * CHOOSE(CONTROL!$C$22, $C$13, 100%, $E$13)</f>
        <v>17.096699999999998</v>
      </c>
      <c r="F879" s="64">
        <f>17.0967 * CHOOSE(CONTROL!$C$22, $C$13, 100%, $E$13)</f>
        <v>17.096699999999998</v>
      </c>
      <c r="G879" s="64">
        <f>17.0968 * CHOOSE(CONTROL!$C$22, $C$13, 100%, $E$13)</f>
        <v>17.096800000000002</v>
      </c>
      <c r="H879" s="64">
        <f>29.3847* CHOOSE(CONTROL!$C$22, $C$13, 100%, $E$13)</f>
        <v>29.384699999999999</v>
      </c>
      <c r="I879" s="64">
        <f>29.3848 * CHOOSE(CONTROL!$C$22, $C$13, 100%, $E$13)</f>
        <v>29.384799999999998</v>
      </c>
      <c r="J879" s="64">
        <f>17.0967 * CHOOSE(CONTROL!$C$22, $C$13, 100%, $E$13)</f>
        <v>17.096699999999998</v>
      </c>
      <c r="K879" s="64">
        <f>17.0968 * CHOOSE(CONTROL!$C$22, $C$13, 100%, $E$13)</f>
        <v>17.096800000000002</v>
      </c>
    </row>
    <row r="880" spans="1:11" ht="15">
      <c r="A880" s="13">
        <v>68272</v>
      </c>
      <c r="B880" s="63">
        <f>15.0532 * CHOOSE(CONTROL!$C$22, $C$13, 100%, $E$13)</f>
        <v>15.0532</v>
      </c>
      <c r="C880" s="63">
        <f>15.0532 * CHOOSE(CONTROL!$C$22, $C$13, 100%, $E$13)</f>
        <v>15.0532</v>
      </c>
      <c r="D880" s="63">
        <f>15.0532 * CHOOSE(CONTROL!$C$22, $C$13, 100%, $E$13)</f>
        <v>15.0532</v>
      </c>
      <c r="E880" s="64">
        <f>16.9383 * CHOOSE(CONTROL!$C$22, $C$13, 100%, $E$13)</f>
        <v>16.938300000000002</v>
      </c>
      <c r="F880" s="64">
        <f>16.9383 * CHOOSE(CONTROL!$C$22, $C$13, 100%, $E$13)</f>
        <v>16.938300000000002</v>
      </c>
      <c r="G880" s="64">
        <f>16.9384 * CHOOSE(CONTROL!$C$22, $C$13, 100%, $E$13)</f>
        <v>16.938400000000001</v>
      </c>
      <c r="H880" s="64">
        <f>29.4459* CHOOSE(CONTROL!$C$22, $C$13, 100%, $E$13)</f>
        <v>29.445900000000002</v>
      </c>
      <c r="I880" s="64">
        <f>29.446 * CHOOSE(CONTROL!$C$22, $C$13, 100%, $E$13)</f>
        <v>29.446000000000002</v>
      </c>
      <c r="J880" s="64">
        <f>16.9383 * CHOOSE(CONTROL!$C$22, $C$13, 100%, $E$13)</f>
        <v>16.938300000000002</v>
      </c>
      <c r="K880" s="64">
        <f>16.9384 * CHOOSE(CONTROL!$C$22, $C$13, 100%, $E$13)</f>
        <v>16.938400000000001</v>
      </c>
    </row>
    <row r="881" spans="1:11" ht="15">
      <c r="A881" s="13">
        <v>68303</v>
      </c>
      <c r="B881" s="63">
        <f>15.021 * CHOOSE(CONTROL!$C$22, $C$13, 100%, $E$13)</f>
        <v>15.021000000000001</v>
      </c>
      <c r="C881" s="63">
        <f>15.021 * CHOOSE(CONTROL!$C$22, $C$13, 100%, $E$13)</f>
        <v>15.021000000000001</v>
      </c>
      <c r="D881" s="63">
        <f>15.021 * CHOOSE(CONTROL!$C$22, $C$13, 100%, $E$13)</f>
        <v>15.021000000000001</v>
      </c>
      <c r="E881" s="64">
        <f>17.0319 * CHOOSE(CONTROL!$C$22, $C$13, 100%, $E$13)</f>
        <v>17.0319</v>
      </c>
      <c r="F881" s="64">
        <f>17.0319 * CHOOSE(CONTROL!$C$22, $C$13, 100%, $E$13)</f>
        <v>17.0319</v>
      </c>
      <c r="G881" s="64">
        <f>17.0319 * CHOOSE(CONTROL!$C$22, $C$13, 100%, $E$13)</f>
        <v>17.0319</v>
      </c>
      <c r="H881" s="64">
        <f>29.2254* CHOOSE(CONTROL!$C$22, $C$13, 100%, $E$13)</f>
        <v>29.2254</v>
      </c>
      <c r="I881" s="64">
        <f>29.2254 * CHOOSE(CONTROL!$C$22, $C$13, 100%, $E$13)</f>
        <v>29.2254</v>
      </c>
      <c r="J881" s="64">
        <f>17.0319 * CHOOSE(CONTROL!$C$22, $C$13, 100%, $E$13)</f>
        <v>17.0319</v>
      </c>
      <c r="K881" s="64">
        <f>17.0319 * CHOOSE(CONTROL!$C$22, $C$13, 100%, $E$13)</f>
        <v>17.0319</v>
      </c>
    </row>
    <row r="882" spans="1:11" ht="15">
      <c r="A882" s="13">
        <v>68334</v>
      </c>
      <c r="B882" s="63">
        <f>15.018 * CHOOSE(CONTROL!$C$22, $C$13, 100%, $E$13)</f>
        <v>15.018000000000001</v>
      </c>
      <c r="C882" s="63">
        <f>15.018 * CHOOSE(CONTROL!$C$22, $C$13, 100%, $E$13)</f>
        <v>15.018000000000001</v>
      </c>
      <c r="D882" s="63">
        <f>15.018 * CHOOSE(CONTROL!$C$22, $C$13, 100%, $E$13)</f>
        <v>15.018000000000001</v>
      </c>
      <c r="E882" s="64">
        <f>16.7254 * CHOOSE(CONTROL!$C$22, $C$13, 100%, $E$13)</f>
        <v>16.7254</v>
      </c>
      <c r="F882" s="64">
        <f>16.7254 * CHOOSE(CONTROL!$C$22, $C$13, 100%, $E$13)</f>
        <v>16.7254</v>
      </c>
      <c r="G882" s="64">
        <f>16.7255 * CHOOSE(CONTROL!$C$22, $C$13, 100%, $E$13)</f>
        <v>16.7255</v>
      </c>
      <c r="H882" s="64">
        <f>29.2863* CHOOSE(CONTROL!$C$22, $C$13, 100%, $E$13)</f>
        <v>29.286300000000001</v>
      </c>
      <c r="I882" s="64">
        <f>29.2863 * CHOOSE(CONTROL!$C$22, $C$13, 100%, $E$13)</f>
        <v>29.286300000000001</v>
      </c>
      <c r="J882" s="64">
        <f>16.7254 * CHOOSE(CONTROL!$C$22, $C$13, 100%, $E$13)</f>
        <v>16.7254</v>
      </c>
      <c r="K882" s="64">
        <f>16.7255 * CHOOSE(CONTROL!$C$22, $C$13, 100%, $E$13)</f>
        <v>16.7255</v>
      </c>
    </row>
    <row r="883" spans="1:11" ht="15">
      <c r="A883" s="13">
        <v>68362</v>
      </c>
      <c r="B883" s="63">
        <f>15.0149 * CHOOSE(CONTROL!$C$22, $C$13, 100%, $E$13)</f>
        <v>15.014900000000001</v>
      </c>
      <c r="C883" s="63">
        <f>15.0149 * CHOOSE(CONTROL!$C$22, $C$13, 100%, $E$13)</f>
        <v>15.014900000000001</v>
      </c>
      <c r="D883" s="63">
        <f>15.0149 * CHOOSE(CONTROL!$C$22, $C$13, 100%, $E$13)</f>
        <v>15.014900000000001</v>
      </c>
      <c r="E883" s="64">
        <f>16.9632 * CHOOSE(CONTROL!$C$22, $C$13, 100%, $E$13)</f>
        <v>16.963200000000001</v>
      </c>
      <c r="F883" s="64">
        <f>16.9632 * CHOOSE(CONTROL!$C$22, $C$13, 100%, $E$13)</f>
        <v>16.963200000000001</v>
      </c>
      <c r="G883" s="64">
        <f>16.9633 * CHOOSE(CONTROL!$C$22, $C$13, 100%, $E$13)</f>
        <v>16.9633</v>
      </c>
      <c r="H883" s="64">
        <f>29.3473* CHOOSE(CONTROL!$C$22, $C$13, 100%, $E$13)</f>
        <v>29.347300000000001</v>
      </c>
      <c r="I883" s="64">
        <f>29.3473 * CHOOSE(CONTROL!$C$22, $C$13, 100%, $E$13)</f>
        <v>29.347300000000001</v>
      </c>
      <c r="J883" s="64">
        <f>16.9632 * CHOOSE(CONTROL!$C$22, $C$13, 100%, $E$13)</f>
        <v>16.963200000000001</v>
      </c>
      <c r="K883" s="64">
        <f>16.9633 * CHOOSE(CONTROL!$C$22, $C$13, 100%, $E$13)</f>
        <v>16.9633</v>
      </c>
    </row>
    <row r="884" spans="1:11" ht="15">
      <c r="A884" s="13">
        <v>68393</v>
      </c>
      <c r="B884" s="63">
        <f>15.0218 * CHOOSE(CONTROL!$C$22, $C$13, 100%, $E$13)</f>
        <v>15.021800000000001</v>
      </c>
      <c r="C884" s="63">
        <f>15.0218 * CHOOSE(CONTROL!$C$22, $C$13, 100%, $E$13)</f>
        <v>15.021800000000001</v>
      </c>
      <c r="D884" s="63">
        <f>15.0218 * CHOOSE(CONTROL!$C$22, $C$13, 100%, $E$13)</f>
        <v>15.021800000000001</v>
      </c>
      <c r="E884" s="64">
        <f>17.2166 * CHOOSE(CONTROL!$C$22, $C$13, 100%, $E$13)</f>
        <v>17.2166</v>
      </c>
      <c r="F884" s="64">
        <f>17.2166 * CHOOSE(CONTROL!$C$22, $C$13, 100%, $E$13)</f>
        <v>17.2166</v>
      </c>
      <c r="G884" s="64">
        <f>17.2167 * CHOOSE(CONTROL!$C$22, $C$13, 100%, $E$13)</f>
        <v>17.216699999999999</v>
      </c>
      <c r="H884" s="64">
        <f>29.4084* CHOOSE(CONTROL!$C$22, $C$13, 100%, $E$13)</f>
        <v>29.4084</v>
      </c>
      <c r="I884" s="64">
        <f>29.4085 * CHOOSE(CONTROL!$C$22, $C$13, 100%, $E$13)</f>
        <v>29.4085</v>
      </c>
      <c r="J884" s="64">
        <f>17.2166 * CHOOSE(CONTROL!$C$22, $C$13, 100%, $E$13)</f>
        <v>17.2166</v>
      </c>
      <c r="K884" s="64">
        <f>17.2167 * CHOOSE(CONTROL!$C$22, $C$13, 100%, $E$13)</f>
        <v>17.216699999999999</v>
      </c>
    </row>
    <row r="885" spans="1:11" ht="15">
      <c r="A885" s="13">
        <v>68423</v>
      </c>
      <c r="B885" s="63">
        <f>15.0218 * CHOOSE(CONTROL!$C$22, $C$13, 100%, $E$13)</f>
        <v>15.021800000000001</v>
      </c>
      <c r="C885" s="63">
        <f>15.0218 * CHOOSE(CONTROL!$C$22, $C$13, 100%, $E$13)</f>
        <v>15.021800000000001</v>
      </c>
      <c r="D885" s="63">
        <f>15.0299 * CHOOSE(CONTROL!$C$22, $C$13, 100%, $E$13)</f>
        <v>15.0299</v>
      </c>
      <c r="E885" s="64">
        <f>17.3133 * CHOOSE(CONTROL!$C$22, $C$13, 100%, $E$13)</f>
        <v>17.313300000000002</v>
      </c>
      <c r="F885" s="64">
        <f>17.3133 * CHOOSE(CONTROL!$C$22, $C$13, 100%, $E$13)</f>
        <v>17.313300000000002</v>
      </c>
      <c r="G885" s="64">
        <f>17.3231 * CHOOSE(CONTROL!$C$22, $C$13, 100%, $E$13)</f>
        <v>17.3231</v>
      </c>
      <c r="H885" s="64">
        <f>29.4697* CHOOSE(CONTROL!$C$22, $C$13, 100%, $E$13)</f>
        <v>29.4697</v>
      </c>
      <c r="I885" s="64">
        <f>29.4795 * CHOOSE(CONTROL!$C$22, $C$13, 100%, $E$13)</f>
        <v>29.479500000000002</v>
      </c>
      <c r="J885" s="64">
        <f>17.3133 * CHOOSE(CONTROL!$C$22, $C$13, 100%, $E$13)</f>
        <v>17.313300000000002</v>
      </c>
      <c r="K885" s="64">
        <f>17.3231 * CHOOSE(CONTROL!$C$22, $C$13, 100%, $E$13)</f>
        <v>17.3231</v>
      </c>
    </row>
    <row r="886" spans="1:11" ht="15">
      <c r="A886" s="13">
        <v>68454</v>
      </c>
      <c r="B886" s="63">
        <f>15.0279 * CHOOSE(CONTROL!$C$22, $C$13, 100%, $E$13)</f>
        <v>15.027900000000001</v>
      </c>
      <c r="C886" s="63">
        <f>15.0279 * CHOOSE(CONTROL!$C$22, $C$13, 100%, $E$13)</f>
        <v>15.027900000000001</v>
      </c>
      <c r="D886" s="63">
        <f>15.036 * CHOOSE(CONTROL!$C$22, $C$13, 100%, $E$13)</f>
        <v>15.036</v>
      </c>
      <c r="E886" s="64">
        <f>17.2209 * CHOOSE(CONTROL!$C$22, $C$13, 100%, $E$13)</f>
        <v>17.2209</v>
      </c>
      <c r="F886" s="64">
        <f>17.2209 * CHOOSE(CONTROL!$C$22, $C$13, 100%, $E$13)</f>
        <v>17.2209</v>
      </c>
      <c r="G886" s="64">
        <f>17.2307 * CHOOSE(CONTROL!$C$22, $C$13, 100%, $E$13)</f>
        <v>17.230699999999999</v>
      </c>
      <c r="H886" s="64">
        <f>29.5311* CHOOSE(CONTROL!$C$22, $C$13, 100%, $E$13)</f>
        <v>29.531099999999999</v>
      </c>
      <c r="I886" s="64">
        <f>29.5409 * CHOOSE(CONTROL!$C$22, $C$13, 100%, $E$13)</f>
        <v>29.540900000000001</v>
      </c>
      <c r="J886" s="64">
        <f>17.2209 * CHOOSE(CONTROL!$C$22, $C$13, 100%, $E$13)</f>
        <v>17.2209</v>
      </c>
      <c r="K886" s="64">
        <f>17.2307 * CHOOSE(CONTROL!$C$22, $C$13, 100%, $E$13)</f>
        <v>17.230699999999999</v>
      </c>
    </row>
    <row r="887" spans="1:11" ht="15">
      <c r="A887" s="13">
        <v>68484</v>
      </c>
      <c r="B887" s="63">
        <f>15.2551 * CHOOSE(CONTROL!$C$22, $C$13, 100%, $E$13)</f>
        <v>15.255100000000001</v>
      </c>
      <c r="C887" s="63">
        <f>15.2551 * CHOOSE(CONTROL!$C$22, $C$13, 100%, $E$13)</f>
        <v>15.255100000000001</v>
      </c>
      <c r="D887" s="63">
        <f>15.2632 * CHOOSE(CONTROL!$C$22, $C$13, 100%, $E$13)</f>
        <v>15.263199999999999</v>
      </c>
      <c r="E887" s="64">
        <f>17.494 * CHOOSE(CONTROL!$C$22, $C$13, 100%, $E$13)</f>
        <v>17.494</v>
      </c>
      <c r="F887" s="64">
        <f>17.494 * CHOOSE(CONTROL!$C$22, $C$13, 100%, $E$13)</f>
        <v>17.494</v>
      </c>
      <c r="G887" s="64">
        <f>17.5038 * CHOOSE(CONTROL!$C$22, $C$13, 100%, $E$13)</f>
        <v>17.503799999999998</v>
      </c>
      <c r="H887" s="64">
        <f>29.5926* CHOOSE(CONTROL!$C$22, $C$13, 100%, $E$13)</f>
        <v>29.592600000000001</v>
      </c>
      <c r="I887" s="64">
        <f>29.6024 * CHOOSE(CONTROL!$C$22, $C$13, 100%, $E$13)</f>
        <v>29.602399999999999</v>
      </c>
      <c r="J887" s="64">
        <f>17.494 * CHOOSE(CONTROL!$C$22, $C$13, 100%, $E$13)</f>
        <v>17.494</v>
      </c>
      <c r="K887" s="64">
        <f>17.5038 * CHOOSE(CONTROL!$C$22, $C$13, 100%, $E$13)</f>
        <v>17.503799999999998</v>
      </c>
    </row>
    <row r="888" spans="1:11" ht="15">
      <c r="A888" s="13">
        <v>68515</v>
      </c>
      <c r="B888" s="63">
        <f>15.2618 * CHOOSE(CONTROL!$C$22, $C$13, 100%, $E$13)</f>
        <v>15.261799999999999</v>
      </c>
      <c r="C888" s="63">
        <f>15.2618 * CHOOSE(CONTROL!$C$22, $C$13, 100%, $E$13)</f>
        <v>15.261799999999999</v>
      </c>
      <c r="D888" s="63">
        <f>15.2699 * CHOOSE(CONTROL!$C$22, $C$13, 100%, $E$13)</f>
        <v>15.2699</v>
      </c>
      <c r="E888" s="64">
        <f>17.2088 * CHOOSE(CONTROL!$C$22, $C$13, 100%, $E$13)</f>
        <v>17.2088</v>
      </c>
      <c r="F888" s="64">
        <f>17.2088 * CHOOSE(CONTROL!$C$22, $C$13, 100%, $E$13)</f>
        <v>17.2088</v>
      </c>
      <c r="G888" s="64">
        <f>17.2186 * CHOOSE(CONTROL!$C$22, $C$13, 100%, $E$13)</f>
        <v>17.218599999999999</v>
      </c>
      <c r="H888" s="64">
        <f>29.6542* CHOOSE(CONTROL!$C$22, $C$13, 100%, $E$13)</f>
        <v>29.654199999999999</v>
      </c>
      <c r="I888" s="64">
        <f>29.6641 * CHOOSE(CONTROL!$C$22, $C$13, 100%, $E$13)</f>
        <v>29.664100000000001</v>
      </c>
      <c r="J888" s="64">
        <f>17.2088 * CHOOSE(CONTROL!$C$22, $C$13, 100%, $E$13)</f>
        <v>17.2088</v>
      </c>
      <c r="K888" s="64">
        <f>17.2186 * CHOOSE(CONTROL!$C$22, $C$13, 100%, $E$13)</f>
        <v>17.218599999999999</v>
      </c>
    </row>
    <row r="889" spans="1:11" ht="15">
      <c r="A889" s="13">
        <v>68546</v>
      </c>
      <c r="B889" s="63">
        <f>15.2588 * CHOOSE(CONTROL!$C$22, $C$13, 100%, $E$13)</f>
        <v>15.258800000000001</v>
      </c>
      <c r="C889" s="63">
        <f>15.2588 * CHOOSE(CONTROL!$C$22, $C$13, 100%, $E$13)</f>
        <v>15.258800000000001</v>
      </c>
      <c r="D889" s="63">
        <f>15.2669 * CHOOSE(CONTROL!$C$22, $C$13, 100%, $E$13)</f>
        <v>15.2669</v>
      </c>
      <c r="E889" s="64">
        <f>17.1744 * CHOOSE(CONTROL!$C$22, $C$13, 100%, $E$13)</f>
        <v>17.174399999999999</v>
      </c>
      <c r="F889" s="64">
        <f>17.1744 * CHOOSE(CONTROL!$C$22, $C$13, 100%, $E$13)</f>
        <v>17.174399999999999</v>
      </c>
      <c r="G889" s="64">
        <f>17.1843 * CHOOSE(CONTROL!$C$22, $C$13, 100%, $E$13)</f>
        <v>17.1843</v>
      </c>
      <c r="H889" s="64">
        <f>29.716* CHOOSE(CONTROL!$C$22, $C$13, 100%, $E$13)</f>
        <v>29.716000000000001</v>
      </c>
      <c r="I889" s="64">
        <f>29.7259 * CHOOSE(CONTROL!$C$22, $C$13, 100%, $E$13)</f>
        <v>29.725899999999999</v>
      </c>
      <c r="J889" s="64">
        <f>17.1744 * CHOOSE(CONTROL!$C$22, $C$13, 100%, $E$13)</f>
        <v>17.174399999999999</v>
      </c>
      <c r="K889" s="64">
        <f>17.1843 * CHOOSE(CONTROL!$C$22, $C$13, 100%, $E$13)</f>
        <v>17.1843</v>
      </c>
    </row>
    <row r="890" spans="1:11" ht="15">
      <c r="A890" s="13">
        <v>68576</v>
      </c>
      <c r="B890" s="63">
        <f>15.2901 * CHOOSE(CONTROL!$C$22, $C$13, 100%, $E$13)</f>
        <v>15.290100000000001</v>
      </c>
      <c r="C890" s="63">
        <f>15.2901 * CHOOSE(CONTROL!$C$22, $C$13, 100%, $E$13)</f>
        <v>15.290100000000001</v>
      </c>
      <c r="D890" s="63">
        <f>15.2901 * CHOOSE(CONTROL!$C$22, $C$13, 100%, $E$13)</f>
        <v>15.290100000000001</v>
      </c>
      <c r="E890" s="64">
        <f>17.2899 * CHOOSE(CONTROL!$C$22, $C$13, 100%, $E$13)</f>
        <v>17.289899999999999</v>
      </c>
      <c r="F890" s="64">
        <f>17.2899 * CHOOSE(CONTROL!$C$22, $C$13, 100%, $E$13)</f>
        <v>17.289899999999999</v>
      </c>
      <c r="G890" s="64">
        <f>17.2899 * CHOOSE(CONTROL!$C$22, $C$13, 100%, $E$13)</f>
        <v>17.289899999999999</v>
      </c>
      <c r="H890" s="64">
        <f>29.7779* CHOOSE(CONTROL!$C$22, $C$13, 100%, $E$13)</f>
        <v>29.777899999999999</v>
      </c>
      <c r="I890" s="64">
        <f>29.778 * CHOOSE(CONTROL!$C$22, $C$13, 100%, $E$13)</f>
        <v>29.777999999999999</v>
      </c>
      <c r="J890" s="64">
        <f>17.2899 * CHOOSE(CONTROL!$C$22, $C$13, 100%, $E$13)</f>
        <v>17.289899999999999</v>
      </c>
      <c r="K890" s="64">
        <f>17.2899 * CHOOSE(CONTROL!$C$22, $C$13, 100%, $E$13)</f>
        <v>17.289899999999999</v>
      </c>
    </row>
    <row r="891" spans="1:11" ht="15">
      <c r="A891" s="13">
        <v>68607</v>
      </c>
      <c r="B891" s="63">
        <f>15.2931 * CHOOSE(CONTROL!$C$22, $C$13, 100%, $E$13)</f>
        <v>15.293100000000001</v>
      </c>
      <c r="C891" s="63">
        <f>15.2931 * CHOOSE(CONTROL!$C$22, $C$13, 100%, $E$13)</f>
        <v>15.293100000000001</v>
      </c>
      <c r="D891" s="63">
        <f>15.2931 * CHOOSE(CONTROL!$C$22, $C$13, 100%, $E$13)</f>
        <v>15.293100000000001</v>
      </c>
      <c r="E891" s="64">
        <f>17.3564 * CHOOSE(CONTROL!$C$22, $C$13, 100%, $E$13)</f>
        <v>17.356400000000001</v>
      </c>
      <c r="F891" s="64">
        <f>17.3564 * CHOOSE(CONTROL!$C$22, $C$13, 100%, $E$13)</f>
        <v>17.356400000000001</v>
      </c>
      <c r="G891" s="64">
        <f>17.3565 * CHOOSE(CONTROL!$C$22, $C$13, 100%, $E$13)</f>
        <v>17.3565</v>
      </c>
      <c r="H891" s="64">
        <f>29.84* CHOOSE(CONTROL!$C$22, $C$13, 100%, $E$13)</f>
        <v>29.84</v>
      </c>
      <c r="I891" s="64">
        <f>29.8401 * CHOOSE(CONTROL!$C$22, $C$13, 100%, $E$13)</f>
        <v>29.8401</v>
      </c>
      <c r="J891" s="64">
        <f>17.3564 * CHOOSE(CONTROL!$C$22, $C$13, 100%, $E$13)</f>
        <v>17.356400000000001</v>
      </c>
      <c r="K891" s="64">
        <f>17.3565 * CHOOSE(CONTROL!$C$22, $C$13, 100%, $E$13)</f>
        <v>17.3565</v>
      </c>
    </row>
    <row r="892" spans="1:11" ht="15">
      <c r="A892" s="13">
        <v>68637</v>
      </c>
      <c r="B892" s="63">
        <f>15.2931 * CHOOSE(CONTROL!$C$22, $C$13, 100%, $E$13)</f>
        <v>15.293100000000001</v>
      </c>
      <c r="C892" s="63">
        <f>15.2931 * CHOOSE(CONTROL!$C$22, $C$13, 100%, $E$13)</f>
        <v>15.293100000000001</v>
      </c>
      <c r="D892" s="63">
        <f>15.2931 * CHOOSE(CONTROL!$C$22, $C$13, 100%, $E$13)</f>
        <v>15.293100000000001</v>
      </c>
      <c r="E892" s="64">
        <f>17.1953 * CHOOSE(CONTROL!$C$22, $C$13, 100%, $E$13)</f>
        <v>17.1953</v>
      </c>
      <c r="F892" s="64">
        <f>17.1953 * CHOOSE(CONTROL!$C$22, $C$13, 100%, $E$13)</f>
        <v>17.1953</v>
      </c>
      <c r="G892" s="64">
        <f>17.1954 * CHOOSE(CONTROL!$C$22, $C$13, 100%, $E$13)</f>
        <v>17.195399999999999</v>
      </c>
      <c r="H892" s="64">
        <f>29.9021* CHOOSE(CONTROL!$C$22, $C$13, 100%, $E$13)</f>
        <v>29.902100000000001</v>
      </c>
      <c r="I892" s="64">
        <f>29.9022 * CHOOSE(CONTROL!$C$22, $C$13, 100%, $E$13)</f>
        <v>29.902200000000001</v>
      </c>
      <c r="J892" s="64">
        <f>17.1953 * CHOOSE(CONTROL!$C$22, $C$13, 100%, $E$13)</f>
        <v>17.1953</v>
      </c>
      <c r="K892" s="64">
        <f>17.1954 * CHOOSE(CONTROL!$C$22, $C$13, 100%, $E$13)</f>
        <v>17.195399999999999</v>
      </c>
    </row>
    <row r="893" spans="1:11" ht="15">
      <c r="A893" s="13">
        <v>68668</v>
      </c>
      <c r="B893" s="63">
        <f>15.2566 * CHOOSE(CONTROL!$C$22, $C$13, 100%, $E$13)</f>
        <v>15.256600000000001</v>
      </c>
      <c r="C893" s="63">
        <f>15.2566 * CHOOSE(CONTROL!$C$22, $C$13, 100%, $E$13)</f>
        <v>15.256600000000001</v>
      </c>
      <c r="D893" s="63">
        <f>15.2566 * CHOOSE(CONTROL!$C$22, $C$13, 100%, $E$13)</f>
        <v>15.256600000000001</v>
      </c>
      <c r="E893" s="64">
        <f>17.2866 * CHOOSE(CONTROL!$C$22, $C$13, 100%, $E$13)</f>
        <v>17.2866</v>
      </c>
      <c r="F893" s="64">
        <f>17.2866 * CHOOSE(CONTROL!$C$22, $C$13, 100%, $E$13)</f>
        <v>17.2866</v>
      </c>
      <c r="G893" s="64">
        <f>17.2867 * CHOOSE(CONTROL!$C$22, $C$13, 100%, $E$13)</f>
        <v>17.2867</v>
      </c>
      <c r="H893" s="64">
        <f>29.6713* CHOOSE(CONTROL!$C$22, $C$13, 100%, $E$13)</f>
        <v>29.671299999999999</v>
      </c>
      <c r="I893" s="64">
        <f>29.6713 * CHOOSE(CONTROL!$C$22, $C$13, 100%, $E$13)</f>
        <v>29.671299999999999</v>
      </c>
      <c r="J893" s="64">
        <f>17.2866 * CHOOSE(CONTROL!$C$22, $C$13, 100%, $E$13)</f>
        <v>17.2866</v>
      </c>
      <c r="K893" s="64">
        <f>17.2867 * CHOOSE(CONTROL!$C$22, $C$13, 100%, $E$13)</f>
        <v>17.2867</v>
      </c>
    </row>
    <row r="894" spans="1:11" ht="15">
      <c r="A894" s="13">
        <v>68699</v>
      </c>
      <c r="B894" s="63">
        <f>15.2536 * CHOOSE(CONTROL!$C$22, $C$13, 100%, $E$13)</f>
        <v>15.2536</v>
      </c>
      <c r="C894" s="63">
        <f>15.2536 * CHOOSE(CONTROL!$C$22, $C$13, 100%, $E$13)</f>
        <v>15.2536</v>
      </c>
      <c r="D894" s="63">
        <f>15.2536 * CHOOSE(CONTROL!$C$22, $C$13, 100%, $E$13)</f>
        <v>15.2536</v>
      </c>
      <c r="E894" s="64">
        <f>16.9752 * CHOOSE(CONTROL!$C$22, $C$13, 100%, $E$13)</f>
        <v>16.975200000000001</v>
      </c>
      <c r="F894" s="64">
        <f>16.9752 * CHOOSE(CONTROL!$C$22, $C$13, 100%, $E$13)</f>
        <v>16.975200000000001</v>
      </c>
      <c r="G894" s="64">
        <f>16.9753 * CHOOSE(CONTROL!$C$22, $C$13, 100%, $E$13)</f>
        <v>16.975300000000001</v>
      </c>
      <c r="H894" s="64">
        <f>29.7331* CHOOSE(CONTROL!$C$22, $C$13, 100%, $E$13)</f>
        <v>29.7331</v>
      </c>
      <c r="I894" s="64">
        <f>29.7332 * CHOOSE(CONTROL!$C$22, $C$13, 100%, $E$13)</f>
        <v>29.7332</v>
      </c>
      <c r="J894" s="64">
        <f>16.9752 * CHOOSE(CONTROL!$C$22, $C$13, 100%, $E$13)</f>
        <v>16.975200000000001</v>
      </c>
      <c r="K894" s="64">
        <f>16.9753 * CHOOSE(CONTROL!$C$22, $C$13, 100%, $E$13)</f>
        <v>16.975300000000001</v>
      </c>
    </row>
    <row r="895" spans="1:11" ht="15">
      <c r="A895" s="13">
        <v>68728</v>
      </c>
      <c r="B895" s="63">
        <f>15.2505 * CHOOSE(CONTROL!$C$22, $C$13, 100%, $E$13)</f>
        <v>15.250500000000001</v>
      </c>
      <c r="C895" s="63">
        <f>15.2505 * CHOOSE(CONTROL!$C$22, $C$13, 100%, $E$13)</f>
        <v>15.250500000000001</v>
      </c>
      <c r="D895" s="63">
        <f>15.2505 * CHOOSE(CONTROL!$C$22, $C$13, 100%, $E$13)</f>
        <v>15.250500000000001</v>
      </c>
      <c r="E895" s="64">
        <f>17.2169 * CHOOSE(CONTROL!$C$22, $C$13, 100%, $E$13)</f>
        <v>17.216899999999999</v>
      </c>
      <c r="F895" s="64">
        <f>17.2169 * CHOOSE(CONTROL!$C$22, $C$13, 100%, $E$13)</f>
        <v>17.216899999999999</v>
      </c>
      <c r="G895" s="64">
        <f>17.217 * CHOOSE(CONTROL!$C$22, $C$13, 100%, $E$13)</f>
        <v>17.216999999999999</v>
      </c>
      <c r="H895" s="64">
        <f>29.795* CHOOSE(CONTROL!$C$22, $C$13, 100%, $E$13)</f>
        <v>29.795000000000002</v>
      </c>
      <c r="I895" s="64">
        <f>29.7951 * CHOOSE(CONTROL!$C$22, $C$13, 100%, $E$13)</f>
        <v>29.795100000000001</v>
      </c>
      <c r="J895" s="64">
        <f>17.2169 * CHOOSE(CONTROL!$C$22, $C$13, 100%, $E$13)</f>
        <v>17.216899999999999</v>
      </c>
      <c r="K895" s="64">
        <f>17.217 * CHOOSE(CONTROL!$C$22, $C$13, 100%, $E$13)</f>
        <v>17.216999999999999</v>
      </c>
    </row>
    <row r="896" spans="1:11" ht="15">
      <c r="A896" s="13">
        <v>68759</v>
      </c>
      <c r="B896" s="63">
        <f>15.2576 * CHOOSE(CONTROL!$C$22, $C$13, 100%, $E$13)</f>
        <v>15.2576</v>
      </c>
      <c r="C896" s="63">
        <f>15.2576 * CHOOSE(CONTROL!$C$22, $C$13, 100%, $E$13)</f>
        <v>15.2576</v>
      </c>
      <c r="D896" s="63">
        <f>15.2576 * CHOOSE(CONTROL!$C$22, $C$13, 100%, $E$13)</f>
        <v>15.2576</v>
      </c>
      <c r="E896" s="64">
        <f>17.4745 * CHOOSE(CONTROL!$C$22, $C$13, 100%, $E$13)</f>
        <v>17.474499999999999</v>
      </c>
      <c r="F896" s="64">
        <f>17.4745 * CHOOSE(CONTROL!$C$22, $C$13, 100%, $E$13)</f>
        <v>17.474499999999999</v>
      </c>
      <c r="G896" s="64">
        <f>17.4746 * CHOOSE(CONTROL!$C$22, $C$13, 100%, $E$13)</f>
        <v>17.474599999999999</v>
      </c>
      <c r="H896" s="64">
        <f>29.8571* CHOOSE(CONTROL!$C$22, $C$13, 100%, $E$13)</f>
        <v>29.857099999999999</v>
      </c>
      <c r="I896" s="64">
        <f>29.8572 * CHOOSE(CONTROL!$C$22, $C$13, 100%, $E$13)</f>
        <v>29.857199999999999</v>
      </c>
      <c r="J896" s="64">
        <f>17.4745 * CHOOSE(CONTROL!$C$22, $C$13, 100%, $E$13)</f>
        <v>17.474499999999999</v>
      </c>
      <c r="K896" s="64">
        <f>17.4746 * CHOOSE(CONTROL!$C$22, $C$13, 100%, $E$13)</f>
        <v>17.474599999999999</v>
      </c>
    </row>
    <row r="897" spans="1:11" ht="15">
      <c r="A897" s="13">
        <v>68789</v>
      </c>
      <c r="B897" s="63">
        <f>15.2576 * CHOOSE(CONTROL!$C$22, $C$13, 100%, $E$13)</f>
        <v>15.2576</v>
      </c>
      <c r="C897" s="63">
        <f>15.2576 * CHOOSE(CONTROL!$C$22, $C$13, 100%, $E$13)</f>
        <v>15.2576</v>
      </c>
      <c r="D897" s="63">
        <f>15.2657 * CHOOSE(CONTROL!$C$22, $C$13, 100%, $E$13)</f>
        <v>15.265700000000001</v>
      </c>
      <c r="E897" s="64">
        <f>17.5727 * CHOOSE(CONTROL!$C$22, $C$13, 100%, $E$13)</f>
        <v>17.572700000000001</v>
      </c>
      <c r="F897" s="64">
        <f>17.5727 * CHOOSE(CONTROL!$C$22, $C$13, 100%, $E$13)</f>
        <v>17.572700000000001</v>
      </c>
      <c r="G897" s="64">
        <f>17.5825 * CHOOSE(CONTROL!$C$22, $C$13, 100%, $E$13)</f>
        <v>17.5825</v>
      </c>
      <c r="H897" s="64">
        <f>29.9193* CHOOSE(CONTROL!$C$22, $C$13, 100%, $E$13)</f>
        <v>29.9193</v>
      </c>
      <c r="I897" s="64">
        <f>29.9291 * CHOOSE(CONTROL!$C$22, $C$13, 100%, $E$13)</f>
        <v>29.929099999999998</v>
      </c>
      <c r="J897" s="64">
        <f>17.5727 * CHOOSE(CONTROL!$C$22, $C$13, 100%, $E$13)</f>
        <v>17.572700000000001</v>
      </c>
      <c r="K897" s="64">
        <f>17.5825 * CHOOSE(CONTROL!$C$22, $C$13, 100%, $E$13)</f>
        <v>17.5825</v>
      </c>
    </row>
    <row r="898" spans="1:11" ht="15">
      <c r="A898" s="13">
        <v>68820</v>
      </c>
      <c r="B898" s="63">
        <f>15.2637 * CHOOSE(CONTROL!$C$22, $C$13, 100%, $E$13)</f>
        <v>15.2637</v>
      </c>
      <c r="C898" s="63">
        <f>15.2637 * CHOOSE(CONTROL!$C$22, $C$13, 100%, $E$13)</f>
        <v>15.2637</v>
      </c>
      <c r="D898" s="63">
        <f>15.2718 * CHOOSE(CONTROL!$C$22, $C$13, 100%, $E$13)</f>
        <v>15.271800000000001</v>
      </c>
      <c r="E898" s="64">
        <f>17.4787 * CHOOSE(CONTROL!$C$22, $C$13, 100%, $E$13)</f>
        <v>17.4787</v>
      </c>
      <c r="F898" s="64">
        <f>17.4787 * CHOOSE(CONTROL!$C$22, $C$13, 100%, $E$13)</f>
        <v>17.4787</v>
      </c>
      <c r="G898" s="64">
        <f>17.4886 * CHOOSE(CONTROL!$C$22, $C$13, 100%, $E$13)</f>
        <v>17.488600000000002</v>
      </c>
      <c r="H898" s="64">
        <f>29.9816* CHOOSE(CONTROL!$C$22, $C$13, 100%, $E$13)</f>
        <v>29.9816</v>
      </c>
      <c r="I898" s="64">
        <f>29.9915 * CHOOSE(CONTROL!$C$22, $C$13, 100%, $E$13)</f>
        <v>29.991499999999998</v>
      </c>
      <c r="J898" s="64">
        <f>17.4787 * CHOOSE(CONTROL!$C$22, $C$13, 100%, $E$13)</f>
        <v>17.4787</v>
      </c>
      <c r="K898" s="64">
        <f>17.4886 * CHOOSE(CONTROL!$C$22, $C$13, 100%, $E$13)</f>
        <v>17.488600000000002</v>
      </c>
    </row>
    <row r="899" spans="1:11" ht="15">
      <c r="A899" s="13">
        <v>68850</v>
      </c>
      <c r="B899" s="63">
        <f>15.4943 * CHOOSE(CONTROL!$C$22, $C$13, 100%, $E$13)</f>
        <v>15.494300000000001</v>
      </c>
      <c r="C899" s="63">
        <f>15.4943 * CHOOSE(CONTROL!$C$22, $C$13, 100%, $E$13)</f>
        <v>15.494300000000001</v>
      </c>
      <c r="D899" s="63">
        <f>15.5024 * CHOOSE(CONTROL!$C$22, $C$13, 100%, $E$13)</f>
        <v>15.5024</v>
      </c>
      <c r="E899" s="64">
        <f>17.7558 * CHOOSE(CONTROL!$C$22, $C$13, 100%, $E$13)</f>
        <v>17.755800000000001</v>
      </c>
      <c r="F899" s="64">
        <f>17.7558 * CHOOSE(CONTROL!$C$22, $C$13, 100%, $E$13)</f>
        <v>17.755800000000001</v>
      </c>
      <c r="G899" s="64">
        <f>17.7656 * CHOOSE(CONTROL!$C$22, $C$13, 100%, $E$13)</f>
        <v>17.765599999999999</v>
      </c>
      <c r="H899" s="64">
        <f>30.0441* CHOOSE(CONTROL!$C$22, $C$13, 100%, $E$13)</f>
        <v>30.0441</v>
      </c>
      <c r="I899" s="64">
        <f>30.0539 * CHOOSE(CONTROL!$C$22, $C$13, 100%, $E$13)</f>
        <v>30.053899999999999</v>
      </c>
      <c r="J899" s="64">
        <f>17.7558 * CHOOSE(CONTROL!$C$22, $C$13, 100%, $E$13)</f>
        <v>17.755800000000001</v>
      </c>
      <c r="K899" s="64">
        <f>17.7656 * CHOOSE(CONTROL!$C$22, $C$13, 100%, $E$13)</f>
        <v>17.765599999999999</v>
      </c>
    </row>
    <row r="900" spans="1:11" ht="15">
      <c r="A900" s="13">
        <v>68881</v>
      </c>
      <c r="B900" s="63">
        <f>15.501 * CHOOSE(CONTROL!$C$22, $C$13, 100%, $E$13)</f>
        <v>15.500999999999999</v>
      </c>
      <c r="C900" s="63">
        <f>15.501 * CHOOSE(CONTROL!$C$22, $C$13, 100%, $E$13)</f>
        <v>15.500999999999999</v>
      </c>
      <c r="D900" s="63">
        <f>15.5091 * CHOOSE(CONTROL!$C$22, $C$13, 100%, $E$13)</f>
        <v>15.5091</v>
      </c>
      <c r="E900" s="64">
        <f>17.4658 * CHOOSE(CONTROL!$C$22, $C$13, 100%, $E$13)</f>
        <v>17.465800000000002</v>
      </c>
      <c r="F900" s="64">
        <f>17.4658 * CHOOSE(CONTROL!$C$22, $C$13, 100%, $E$13)</f>
        <v>17.465800000000002</v>
      </c>
      <c r="G900" s="64">
        <f>17.4757 * CHOOSE(CONTROL!$C$22, $C$13, 100%, $E$13)</f>
        <v>17.4757</v>
      </c>
      <c r="H900" s="64">
        <f>30.1067* CHOOSE(CONTROL!$C$22, $C$13, 100%, $E$13)</f>
        <v>30.1067</v>
      </c>
      <c r="I900" s="64">
        <f>30.1165 * CHOOSE(CONTROL!$C$22, $C$13, 100%, $E$13)</f>
        <v>30.116499999999998</v>
      </c>
      <c r="J900" s="64">
        <f>17.4658 * CHOOSE(CONTROL!$C$22, $C$13, 100%, $E$13)</f>
        <v>17.465800000000002</v>
      </c>
      <c r="K900" s="64">
        <f>17.4757 * CHOOSE(CONTROL!$C$22, $C$13, 100%, $E$13)</f>
        <v>17.4757</v>
      </c>
    </row>
    <row r="901" spans="1:11" ht="15">
      <c r="A901" s="13">
        <v>68912</v>
      </c>
      <c r="B901" s="63">
        <f>15.498 * CHOOSE(CONTROL!$C$22, $C$13, 100%, $E$13)</f>
        <v>15.497999999999999</v>
      </c>
      <c r="C901" s="63">
        <f>15.498 * CHOOSE(CONTROL!$C$22, $C$13, 100%, $E$13)</f>
        <v>15.497999999999999</v>
      </c>
      <c r="D901" s="63">
        <f>15.5061 * CHOOSE(CONTROL!$C$22, $C$13, 100%, $E$13)</f>
        <v>15.5061</v>
      </c>
      <c r="E901" s="64">
        <f>17.431 * CHOOSE(CONTROL!$C$22, $C$13, 100%, $E$13)</f>
        <v>17.431000000000001</v>
      </c>
      <c r="F901" s="64">
        <f>17.431 * CHOOSE(CONTROL!$C$22, $C$13, 100%, $E$13)</f>
        <v>17.431000000000001</v>
      </c>
      <c r="G901" s="64">
        <f>17.4408 * CHOOSE(CONTROL!$C$22, $C$13, 100%, $E$13)</f>
        <v>17.440799999999999</v>
      </c>
      <c r="H901" s="64">
        <f>30.1694* CHOOSE(CONTROL!$C$22, $C$13, 100%, $E$13)</f>
        <v>30.1694</v>
      </c>
      <c r="I901" s="64">
        <f>30.1792 * CHOOSE(CONTROL!$C$22, $C$13, 100%, $E$13)</f>
        <v>30.179200000000002</v>
      </c>
      <c r="J901" s="64">
        <f>17.431 * CHOOSE(CONTROL!$C$22, $C$13, 100%, $E$13)</f>
        <v>17.431000000000001</v>
      </c>
      <c r="K901" s="64">
        <f>17.4408 * CHOOSE(CONTROL!$C$22, $C$13, 100%, $E$13)</f>
        <v>17.440799999999999</v>
      </c>
    </row>
    <row r="902" spans="1:11" ht="15">
      <c r="A902" s="13">
        <v>68942</v>
      </c>
      <c r="B902" s="63">
        <f>15.53 * CHOOSE(CONTROL!$C$22, $C$13, 100%, $E$13)</f>
        <v>15.53</v>
      </c>
      <c r="C902" s="63">
        <f>15.53 * CHOOSE(CONTROL!$C$22, $C$13, 100%, $E$13)</f>
        <v>15.53</v>
      </c>
      <c r="D902" s="63">
        <f>15.53 * CHOOSE(CONTROL!$C$22, $C$13, 100%, $E$13)</f>
        <v>15.53</v>
      </c>
      <c r="E902" s="64">
        <f>17.5485 * CHOOSE(CONTROL!$C$22, $C$13, 100%, $E$13)</f>
        <v>17.548500000000001</v>
      </c>
      <c r="F902" s="64">
        <f>17.5485 * CHOOSE(CONTROL!$C$22, $C$13, 100%, $E$13)</f>
        <v>17.548500000000001</v>
      </c>
      <c r="G902" s="64">
        <f>17.5486 * CHOOSE(CONTROL!$C$22, $C$13, 100%, $E$13)</f>
        <v>17.5486</v>
      </c>
      <c r="H902" s="64">
        <f>30.2323* CHOOSE(CONTROL!$C$22, $C$13, 100%, $E$13)</f>
        <v>30.232299999999999</v>
      </c>
      <c r="I902" s="64">
        <f>30.2323 * CHOOSE(CONTROL!$C$22, $C$13, 100%, $E$13)</f>
        <v>30.232299999999999</v>
      </c>
      <c r="J902" s="64">
        <f>17.5485 * CHOOSE(CONTROL!$C$22, $C$13, 100%, $E$13)</f>
        <v>17.548500000000001</v>
      </c>
      <c r="K902" s="64">
        <f>17.5486 * CHOOSE(CONTROL!$C$22, $C$13, 100%, $E$13)</f>
        <v>17.5486</v>
      </c>
    </row>
    <row r="903" spans="1:11" ht="15">
      <c r="A903" s="13">
        <v>68973</v>
      </c>
      <c r="B903" s="63">
        <f>15.533 * CHOOSE(CONTROL!$C$22, $C$13, 100%, $E$13)</f>
        <v>15.532999999999999</v>
      </c>
      <c r="C903" s="63">
        <f>15.533 * CHOOSE(CONTROL!$C$22, $C$13, 100%, $E$13)</f>
        <v>15.532999999999999</v>
      </c>
      <c r="D903" s="63">
        <f>15.533 * CHOOSE(CONTROL!$C$22, $C$13, 100%, $E$13)</f>
        <v>15.532999999999999</v>
      </c>
      <c r="E903" s="64">
        <f>17.6161 * CHOOSE(CONTROL!$C$22, $C$13, 100%, $E$13)</f>
        <v>17.616099999999999</v>
      </c>
      <c r="F903" s="64">
        <f>17.6161 * CHOOSE(CONTROL!$C$22, $C$13, 100%, $E$13)</f>
        <v>17.616099999999999</v>
      </c>
      <c r="G903" s="64">
        <f>17.6162 * CHOOSE(CONTROL!$C$22, $C$13, 100%, $E$13)</f>
        <v>17.616199999999999</v>
      </c>
      <c r="H903" s="64">
        <f>30.2952* CHOOSE(CONTROL!$C$22, $C$13, 100%, $E$13)</f>
        <v>30.295200000000001</v>
      </c>
      <c r="I903" s="64">
        <f>30.2953 * CHOOSE(CONTROL!$C$22, $C$13, 100%, $E$13)</f>
        <v>30.295300000000001</v>
      </c>
      <c r="J903" s="64">
        <f>17.6161 * CHOOSE(CONTROL!$C$22, $C$13, 100%, $E$13)</f>
        <v>17.616099999999999</v>
      </c>
      <c r="K903" s="64">
        <f>17.6162 * CHOOSE(CONTROL!$C$22, $C$13, 100%, $E$13)</f>
        <v>17.616199999999999</v>
      </c>
    </row>
    <row r="904" spans="1:11" ht="15">
      <c r="A904" s="13">
        <v>69003</v>
      </c>
      <c r="B904" s="63">
        <f>15.533 * CHOOSE(CONTROL!$C$22, $C$13, 100%, $E$13)</f>
        <v>15.532999999999999</v>
      </c>
      <c r="C904" s="63">
        <f>15.533 * CHOOSE(CONTROL!$C$22, $C$13, 100%, $E$13)</f>
        <v>15.532999999999999</v>
      </c>
      <c r="D904" s="63">
        <f>15.533 * CHOOSE(CONTROL!$C$22, $C$13, 100%, $E$13)</f>
        <v>15.532999999999999</v>
      </c>
      <c r="E904" s="64">
        <f>17.4524 * CHOOSE(CONTROL!$C$22, $C$13, 100%, $E$13)</f>
        <v>17.452400000000001</v>
      </c>
      <c r="F904" s="64">
        <f>17.4524 * CHOOSE(CONTROL!$C$22, $C$13, 100%, $E$13)</f>
        <v>17.452400000000001</v>
      </c>
      <c r="G904" s="64">
        <f>17.4525 * CHOOSE(CONTROL!$C$22, $C$13, 100%, $E$13)</f>
        <v>17.452500000000001</v>
      </c>
      <c r="H904" s="64">
        <f>30.3584* CHOOSE(CONTROL!$C$22, $C$13, 100%, $E$13)</f>
        <v>30.3584</v>
      </c>
      <c r="I904" s="64">
        <f>30.3584 * CHOOSE(CONTROL!$C$22, $C$13, 100%, $E$13)</f>
        <v>30.3584</v>
      </c>
      <c r="J904" s="64">
        <f>17.4524 * CHOOSE(CONTROL!$C$22, $C$13, 100%, $E$13)</f>
        <v>17.452400000000001</v>
      </c>
      <c r="K904" s="64">
        <f>17.4525 * CHOOSE(CONTROL!$C$22, $C$13, 100%, $E$13)</f>
        <v>17.452500000000001</v>
      </c>
    </row>
    <row r="905" spans="1:11" ht="15">
      <c r="A905" s="13">
        <v>69034</v>
      </c>
      <c r="B905" s="63">
        <f>15.4922 * CHOOSE(CONTROL!$C$22, $C$13, 100%, $E$13)</f>
        <v>15.4922</v>
      </c>
      <c r="C905" s="63">
        <f>15.4922 * CHOOSE(CONTROL!$C$22, $C$13, 100%, $E$13)</f>
        <v>15.4922</v>
      </c>
      <c r="D905" s="63">
        <f>15.4922 * CHOOSE(CONTROL!$C$22, $C$13, 100%, $E$13)</f>
        <v>15.4922</v>
      </c>
      <c r="E905" s="64">
        <f>17.5413 * CHOOSE(CONTROL!$C$22, $C$13, 100%, $E$13)</f>
        <v>17.5413</v>
      </c>
      <c r="F905" s="64">
        <f>17.5413 * CHOOSE(CONTROL!$C$22, $C$13, 100%, $E$13)</f>
        <v>17.5413</v>
      </c>
      <c r="G905" s="64">
        <f>17.5414 * CHOOSE(CONTROL!$C$22, $C$13, 100%, $E$13)</f>
        <v>17.541399999999999</v>
      </c>
      <c r="H905" s="64">
        <f>30.1172* CHOOSE(CONTROL!$C$22, $C$13, 100%, $E$13)</f>
        <v>30.1172</v>
      </c>
      <c r="I905" s="64">
        <f>30.1172 * CHOOSE(CONTROL!$C$22, $C$13, 100%, $E$13)</f>
        <v>30.1172</v>
      </c>
      <c r="J905" s="64">
        <f>17.5413 * CHOOSE(CONTROL!$C$22, $C$13, 100%, $E$13)</f>
        <v>17.5413</v>
      </c>
      <c r="K905" s="64">
        <f>17.5414 * CHOOSE(CONTROL!$C$22, $C$13, 100%, $E$13)</f>
        <v>17.541399999999999</v>
      </c>
    </row>
    <row r="906" spans="1:11" ht="15">
      <c r="A906" s="13">
        <v>69065</v>
      </c>
      <c r="B906" s="63">
        <f>15.4891 * CHOOSE(CONTROL!$C$22, $C$13, 100%, $E$13)</f>
        <v>15.489100000000001</v>
      </c>
      <c r="C906" s="63">
        <f>15.4891 * CHOOSE(CONTROL!$C$22, $C$13, 100%, $E$13)</f>
        <v>15.489100000000001</v>
      </c>
      <c r="D906" s="63">
        <f>15.4891 * CHOOSE(CONTROL!$C$22, $C$13, 100%, $E$13)</f>
        <v>15.489100000000001</v>
      </c>
      <c r="E906" s="64">
        <f>17.225 * CHOOSE(CONTROL!$C$22, $C$13, 100%, $E$13)</f>
        <v>17.225000000000001</v>
      </c>
      <c r="F906" s="64">
        <f>17.225 * CHOOSE(CONTROL!$C$22, $C$13, 100%, $E$13)</f>
        <v>17.225000000000001</v>
      </c>
      <c r="G906" s="64">
        <f>17.225 * CHOOSE(CONTROL!$C$22, $C$13, 100%, $E$13)</f>
        <v>17.225000000000001</v>
      </c>
      <c r="H906" s="64">
        <f>30.1799* CHOOSE(CONTROL!$C$22, $C$13, 100%, $E$13)</f>
        <v>30.1799</v>
      </c>
      <c r="I906" s="64">
        <f>30.18 * CHOOSE(CONTROL!$C$22, $C$13, 100%, $E$13)</f>
        <v>30.18</v>
      </c>
      <c r="J906" s="64">
        <f>17.225 * CHOOSE(CONTROL!$C$22, $C$13, 100%, $E$13)</f>
        <v>17.225000000000001</v>
      </c>
      <c r="K906" s="64">
        <f>17.225 * CHOOSE(CONTROL!$C$22, $C$13, 100%, $E$13)</f>
        <v>17.225000000000001</v>
      </c>
    </row>
    <row r="907" spans="1:11" ht="15">
      <c r="A907" s="13">
        <v>69093</v>
      </c>
      <c r="B907" s="63">
        <f>15.4861 * CHOOSE(CONTROL!$C$22, $C$13, 100%, $E$13)</f>
        <v>15.4861</v>
      </c>
      <c r="C907" s="63">
        <f>15.4861 * CHOOSE(CONTROL!$C$22, $C$13, 100%, $E$13)</f>
        <v>15.4861</v>
      </c>
      <c r="D907" s="63">
        <f>15.4861 * CHOOSE(CONTROL!$C$22, $C$13, 100%, $E$13)</f>
        <v>15.4861</v>
      </c>
      <c r="E907" s="64">
        <f>17.4706 * CHOOSE(CONTROL!$C$22, $C$13, 100%, $E$13)</f>
        <v>17.470600000000001</v>
      </c>
      <c r="F907" s="64">
        <f>17.4706 * CHOOSE(CONTROL!$C$22, $C$13, 100%, $E$13)</f>
        <v>17.470600000000001</v>
      </c>
      <c r="G907" s="64">
        <f>17.4706 * CHOOSE(CONTROL!$C$22, $C$13, 100%, $E$13)</f>
        <v>17.470600000000001</v>
      </c>
      <c r="H907" s="64">
        <f>30.2428* CHOOSE(CONTROL!$C$22, $C$13, 100%, $E$13)</f>
        <v>30.242799999999999</v>
      </c>
      <c r="I907" s="64">
        <f>30.2428 * CHOOSE(CONTROL!$C$22, $C$13, 100%, $E$13)</f>
        <v>30.242799999999999</v>
      </c>
      <c r="J907" s="64">
        <f>17.4706 * CHOOSE(CONTROL!$C$22, $C$13, 100%, $E$13)</f>
        <v>17.470600000000001</v>
      </c>
      <c r="K907" s="64">
        <f>17.4706 * CHOOSE(CONTROL!$C$22, $C$13, 100%, $E$13)</f>
        <v>17.470600000000001</v>
      </c>
    </row>
    <row r="908" spans="1:11" ht="15">
      <c r="A908" s="13">
        <v>69124</v>
      </c>
      <c r="B908" s="63">
        <f>15.4933 * CHOOSE(CONTROL!$C$22, $C$13, 100%, $E$13)</f>
        <v>15.4933</v>
      </c>
      <c r="C908" s="63">
        <f>15.4933 * CHOOSE(CONTROL!$C$22, $C$13, 100%, $E$13)</f>
        <v>15.4933</v>
      </c>
      <c r="D908" s="63">
        <f>15.4933 * CHOOSE(CONTROL!$C$22, $C$13, 100%, $E$13)</f>
        <v>15.4933</v>
      </c>
      <c r="E908" s="64">
        <f>17.7324 * CHOOSE(CONTROL!$C$22, $C$13, 100%, $E$13)</f>
        <v>17.732399999999998</v>
      </c>
      <c r="F908" s="64">
        <f>17.7324 * CHOOSE(CONTROL!$C$22, $C$13, 100%, $E$13)</f>
        <v>17.732399999999998</v>
      </c>
      <c r="G908" s="64">
        <f>17.7324 * CHOOSE(CONTROL!$C$22, $C$13, 100%, $E$13)</f>
        <v>17.732399999999998</v>
      </c>
      <c r="H908" s="64">
        <f>30.3058* CHOOSE(CONTROL!$C$22, $C$13, 100%, $E$13)</f>
        <v>30.305800000000001</v>
      </c>
      <c r="I908" s="64">
        <f>30.3059 * CHOOSE(CONTROL!$C$22, $C$13, 100%, $E$13)</f>
        <v>30.305900000000001</v>
      </c>
      <c r="J908" s="64">
        <f>17.7324 * CHOOSE(CONTROL!$C$22, $C$13, 100%, $E$13)</f>
        <v>17.732399999999998</v>
      </c>
      <c r="K908" s="64">
        <f>17.7324 * CHOOSE(CONTROL!$C$22, $C$13, 100%, $E$13)</f>
        <v>17.732399999999998</v>
      </c>
    </row>
    <row r="909" spans="1:11" ht="15">
      <c r="A909" s="13">
        <v>69154</v>
      </c>
      <c r="B909" s="63">
        <f>15.4933 * CHOOSE(CONTROL!$C$22, $C$13, 100%, $E$13)</f>
        <v>15.4933</v>
      </c>
      <c r="C909" s="63">
        <f>15.4933 * CHOOSE(CONTROL!$C$22, $C$13, 100%, $E$13)</f>
        <v>15.4933</v>
      </c>
      <c r="D909" s="63">
        <f>15.5015 * CHOOSE(CONTROL!$C$22, $C$13, 100%, $E$13)</f>
        <v>15.5015</v>
      </c>
      <c r="E909" s="64">
        <f>17.8321 * CHOOSE(CONTROL!$C$22, $C$13, 100%, $E$13)</f>
        <v>17.832100000000001</v>
      </c>
      <c r="F909" s="64">
        <f>17.8321 * CHOOSE(CONTROL!$C$22, $C$13, 100%, $E$13)</f>
        <v>17.832100000000001</v>
      </c>
      <c r="G909" s="64">
        <f>17.842 * CHOOSE(CONTROL!$C$22, $C$13, 100%, $E$13)</f>
        <v>17.841999999999999</v>
      </c>
      <c r="H909" s="64">
        <f>30.3689* CHOOSE(CONTROL!$C$22, $C$13, 100%, $E$13)</f>
        <v>30.3689</v>
      </c>
      <c r="I909" s="64">
        <f>30.3787 * CHOOSE(CONTROL!$C$22, $C$13, 100%, $E$13)</f>
        <v>30.378699999999998</v>
      </c>
      <c r="J909" s="64">
        <f>17.8321 * CHOOSE(CONTROL!$C$22, $C$13, 100%, $E$13)</f>
        <v>17.832100000000001</v>
      </c>
      <c r="K909" s="64">
        <f>17.842 * CHOOSE(CONTROL!$C$22, $C$13, 100%, $E$13)</f>
        <v>17.841999999999999</v>
      </c>
    </row>
    <row r="910" spans="1:11" ht="15">
      <c r="A910" s="13">
        <v>69185</v>
      </c>
      <c r="B910" s="63">
        <f>15.4994 * CHOOSE(CONTROL!$C$22, $C$13, 100%, $E$13)</f>
        <v>15.4994</v>
      </c>
      <c r="C910" s="63">
        <f>15.4994 * CHOOSE(CONTROL!$C$22, $C$13, 100%, $E$13)</f>
        <v>15.4994</v>
      </c>
      <c r="D910" s="63">
        <f>15.5075 * CHOOSE(CONTROL!$C$22, $C$13, 100%, $E$13)</f>
        <v>15.5075</v>
      </c>
      <c r="E910" s="64">
        <f>17.7366 * CHOOSE(CONTROL!$C$22, $C$13, 100%, $E$13)</f>
        <v>17.736599999999999</v>
      </c>
      <c r="F910" s="64">
        <f>17.7366 * CHOOSE(CONTROL!$C$22, $C$13, 100%, $E$13)</f>
        <v>17.736599999999999</v>
      </c>
      <c r="G910" s="64">
        <f>17.7464 * CHOOSE(CONTROL!$C$22, $C$13, 100%, $E$13)</f>
        <v>17.746400000000001</v>
      </c>
      <c r="H910" s="64">
        <f>30.4322* CHOOSE(CONTROL!$C$22, $C$13, 100%, $E$13)</f>
        <v>30.432200000000002</v>
      </c>
      <c r="I910" s="64">
        <f>30.442 * CHOOSE(CONTROL!$C$22, $C$13, 100%, $E$13)</f>
        <v>30.442</v>
      </c>
      <c r="J910" s="64">
        <f>17.7366 * CHOOSE(CONTROL!$C$22, $C$13, 100%, $E$13)</f>
        <v>17.736599999999999</v>
      </c>
      <c r="K910" s="64">
        <f>17.7464 * CHOOSE(CONTROL!$C$22, $C$13, 100%, $E$13)</f>
        <v>17.746400000000001</v>
      </c>
    </row>
    <row r="911" spans="1:11" ht="15">
      <c r="A911" s="13">
        <v>69215</v>
      </c>
      <c r="B911" s="63">
        <f>15.7335 * CHOOSE(CONTROL!$C$22, $C$13, 100%, $E$13)</f>
        <v>15.733499999999999</v>
      </c>
      <c r="C911" s="63">
        <f>15.7335 * CHOOSE(CONTROL!$C$22, $C$13, 100%, $E$13)</f>
        <v>15.733499999999999</v>
      </c>
      <c r="D911" s="63">
        <f>15.7416 * CHOOSE(CONTROL!$C$22, $C$13, 100%, $E$13)</f>
        <v>15.7416</v>
      </c>
      <c r="E911" s="64">
        <f>18.0175 * CHOOSE(CONTROL!$C$22, $C$13, 100%, $E$13)</f>
        <v>18.017499999999998</v>
      </c>
      <c r="F911" s="64">
        <f>18.0175 * CHOOSE(CONTROL!$C$22, $C$13, 100%, $E$13)</f>
        <v>18.017499999999998</v>
      </c>
      <c r="G911" s="64">
        <f>18.0274 * CHOOSE(CONTROL!$C$22, $C$13, 100%, $E$13)</f>
        <v>18.0274</v>
      </c>
      <c r="H911" s="64">
        <f>30.4956* CHOOSE(CONTROL!$C$22, $C$13, 100%, $E$13)</f>
        <v>30.4956</v>
      </c>
      <c r="I911" s="64">
        <f>30.5054 * CHOOSE(CONTROL!$C$22, $C$13, 100%, $E$13)</f>
        <v>30.505400000000002</v>
      </c>
      <c r="J911" s="64">
        <f>18.0175 * CHOOSE(CONTROL!$C$22, $C$13, 100%, $E$13)</f>
        <v>18.017499999999998</v>
      </c>
      <c r="K911" s="64">
        <f>18.0274 * CHOOSE(CONTROL!$C$22, $C$13, 100%, $E$13)</f>
        <v>18.0274</v>
      </c>
    </row>
    <row r="912" spans="1:11" ht="15">
      <c r="A912" s="13">
        <v>69246</v>
      </c>
      <c r="B912" s="63">
        <f>15.7402 * CHOOSE(CONTROL!$C$22, $C$13, 100%, $E$13)</f>
        <v>15.7402</v>
      </c>
      <c r="C912" s="63">
        <f>15.7402 * CHOOSE(CONTROL!$C$22, $C$13, 100%, $E$13)</f>
        <v>15.7402</v>
      </c>
      <c r="D912" s="63">
        <f>15.7483 * CHOOSE(CONTROL!$C$22, $C$13, 100%, $E$13)</f>
        <v>15.7483</v>
      </c>
      <c r="E912" s="64">
        <f>17.7229 * CHOOSE(CONTROL!$C$22, $C$13, 100%, $E$13)</f>
        <v>17.722899999999999</v>
      </c>
      <c r="F912" s="64">
        <f>17.7229 * CHOOSE(CONTROL!$C$22, $C$13, 100%, $E$13)</f>
        <v>17.722899999999999</v>
      </c>
      <c r="G912" s="64">
        <f>17.7327 * CHOOSE(CONTROL!$C$22, $C$13, 100%, $E$13)</f>
        <v>17.732700000000001</v>
      </c>
      <c r="H912" s="64">
        <f>30.5591* CHOOSE(CONTROL!$C$22, $C$13, 100%, $E$13)</f>
        <v>30.559100000000001</v>
      </c>
      <c r="I912" s="64">
        <f>30.5689 * CHOOSE(CONTROL!$C$22, $C$13, 100%, $E$13)</f>
        <v>30.568899999999999</v>
      </c>
      <c r="J912" s="64">
        <f>17.7229 * CHOOSE(CONTROL!$C$22, $C$13, 100%, $E$13)</f>
        <v>17.722899999999999</v>
      </c>
      <c r="K912" s="64">
        <f>17.7327 * CHOOSE(CONTROL!$C$22, $C$13, 100%, $E$13)</f>
        <v>17.732700000000001</v>
      </c>
    </row>
    <row r="913" spans="1:11" ht="15">
      <c r="A913" s="13">
        <v>69277</v>
      </c>
      <c r="B913" s="63">
        <f>15.7371 * CHOOSE(CONTROL!$C$22, $C$13, 100%, $E$13)</f>
        <v>15.7371</v>
      </c>
      <c r="C913" s="63">
        <f>15.7371 * CHOOSE(CONTROL!$C$22, $C$13, 100%, $E$13)</f>
        <v>15.7371</v>
      </c>
      <c r="D913" s="63">
        <f>15.7453 * CHOOSE(CONTROL!$C$22, $C$13, 100%, $E$13)</f>
        <v>15.7453</v>
      </c>
      <c r="E913" s="64">
        <f>17.6875 * CHOOSE(CONTROL!$C$22, $C$13, 100%, $E$13)</f>
        <v>17.6875</v>
      </c>
      <c r="F913" s="64">
        <f>17.6875 * CHOOSE(CONTROL!$C$22, $C$13, 100%, $E$13)</f>
        <v>17.6875</v>
      </c>
      <c r="G913" s="64">
        <f>17.6974 * CHOOSE(CONTROL!$C$22, $C$13, 100%, $E$13)</f>
        <v>17.697399999999998</v>
      </c>
      <c r="H913" s="64">
        <f>30.6228* CHOOSE(CONTROL!$C$22, $C$13, 100%, $E$13)</f>
        <v>30.622800000000002</v>
      </c>
      <c r="I913" s="64">
        <f>30.6326 * CHOOSE(CONTROL!$C$22, $C$13, 100%, $E$13)</f>
        <v>30.6326</v>
      </c>
      <c r="J913" s="64">
        <f>17.6875 * CHOOSE(CONTROL!$C$22, $C$13, 100%, $E$13)</f>
        <v>17.6875</v>
      </c>
      <c r="K913" s="64">
        <f>17.6974 * CHOOSE(CONTROL!$C$22, $C$13, 100%, $E$13)</f>
        <v>17.697399999999998</v>
      </c>
    </row>
    <row r="914" spans="1:11" ht="15">
      <c r="A914" s="13">
        <v>69307</v>
      </c>
      <c r="B914" s="63">
        <f>15.7699 * CHOOSE(CONTROL!$C$22, $C$13, 100%, $E$13)</f>
        <v>15.7699</v>
      </c>
      <c r="C914" s="63">
        <f>15.7699 * CHOOSE(CONTROL!$C$22, $C$13, 100%, $E$13)</f>
        <v>15.7699</v>
      </c>
      <c r="D914" s="63">
        <f>15.7699 * CHOOSE(CONTROL!$C$22, $C$13, 100%, $E$13)</f>
        <v>15.7699</v>
      </c>
      <c r="E914" s="64">
        <f>17.8071 * CHOOSE(CONTROL!$C$22, $C$13, 100%, $E$13)</f>
        <v>17.807099999999998</v>
      </c>
      <c r="F914" s="64">
        <f>17.8071 * CHOOSE(CONTROL!$C$22, $C$13, 100%, $E$13)</f>
        <v>17.807099999999998</v>
      </c>
      <c r="G914" s="64">
        <f>17.8072 * CHOOSE(CONTROL!$C$22, $C$13, 100%, $E$13)</f>
        <v>17.807200000000002</v>
      </c>
      <c r="H914" s="64">
        <f>30.6866* CHOOSE(CONTROL!$C$22, $C$13, 100%, $E$13)</f>
        <v>30.686599999999999</v>
      </c>
      <c r="I914" s="64">
        <f>30.6867 * CHOOSE(CONTROL!$C$22, $C$13, 100%, $E$13)</f>
        <v>30.686699999999998</v>
      </c>
      <c r="J914" s="64">
        <f>17.8071 * CHOOSE(CONTROL!$C$22, $C$13, 100%, $E$13)</f>
        <v>17.807099999999998</v>
      </c>
      <c r="K914" s="64">
        <f>17.8072 * CHOOSE(CONTROL!$C$22, $C$13, 100%, $E$13)</f>
        <v>17.807200000000002</v>
      </c>
    </row>
    <row r="915" spans="1:11" ht="15">
      <c r="A915" s="13">
        <v>69338</v>
      </c>
      <c r="B915" s="63">
        <f>15.773 * CHOOSE(CONTROL!$C$22, $C$13, 100%, $E$13)</f>
        <v>15.773</v>
      </c>
      <c r="C915" s="63">
        <f>15.773 * CHOOSE(CONTROL!$C$22, $C$13, 100%, $E$13)</f>
        <v>15.773</v>
      </c>
      <c r="D915" s="63">
        <f>15.773 * CHOOSE(CONTROL!$C$22, $C$13, 100%, $E$13)</f>
        <v>15.773</v>
      </c>
      <c r="E915" s="64">
        <f>17.8758 * CHOOSE(CONTROL!$C$22, $C$13, 100%, $E$13)</f>
        <v>17.875800000000002</v>
      </c>
      <c r="F915" s="64">
        <f>17.8758 * CHOOSE(CONTROL!$C$22, $C$13, 100%, $E$13)</f>
        <v>17.875800000000002</v>
      </c>
      <c r="G915" s="64">
        <f>17.8758 * CHOOSE(CONTROL!$C$22, $C$13, 100%, $E$13)</f>
        <v>17.875800000000002</v>
      </c>
      <c r="H915" s="64">
        <f>30.7505* CHOOSE(CONTROL!$C$22, $C$13, 100%, $E$13)</f>
        <v>30.750499999999999</v>
      </c>
      <c r="I915" s="64">
        <f>30.7506 * CHOOSE(CONTROL!$C$22, $C$13, 100%, $E$13)</f>
        <v>30.750599999999999</v>
      </c>
      <c r="J915" s="64">
        <f>17.8758 * CHOOSE(CONTROL!$C$22, $C$13, 100%, $E$13)</f>
        <v>17.875800000000002</v>
      </c>
      <c r="K915" s="64">
        <f>17.8758 * CHOOSE(CONTROL!$C$22, $C$13, 100%, $E$13)</f>
        <v>17.875800000000002</v>
      </c>
    </row>
    <row r="916" spans="1:11" ht="15">
      <c r="A916" s="13">
        <v>69368</v>
      </c>
      <c r="B916" s="63">
        <f>15.773 * CHOOSE(CONTROL!$C$22, $C$13, 100%, $E$13)</f>
        <v>15.773</v>
      </c>
      <c r="C916" s="63">
        <f>15.773 * CHOOSE(CONTROL!$C$22, $C$13, 100%, $E$13)</f>
        <v>15.773</v>
      </c>
      <c r="D916" s="63">
        <f>15.773 * CHOOSE(CONTROL!$C$22, $C$13, 100%, $E$13)</f>
        <v>15.773</v>
      </c>
      <c r="E916" s="64">
        <f>17.7095 * CHOOSE(CONTROL!$C$22, $C$13, 100%, $E$13)</f>
        <v>17.709499999999998</v>
      </c>
      <c r="F916" s="64">
        <f>17.7095 * CHOOSE(CONTROL!$C$22, $C$13, 100%, $E$13)</f>
        <v>17.709499999999998</v>
      </c>
      <c r="G916" s="64">
        <f>17.7096 * CHOOSE(CONTROL!$C$22, $C$13, 100%, $E$13)</f>
        <v>17.709599999999998</v>
      </c>
      <c r="H916" s="64">
        <f>30.8146* CHOOSE(CONTROL!$C$22, $C$13, 100%, $E$13)</f>
        <v>30.814599999999999</v>
      </c>
      <c r="I916" s="64">
        <f>30.8147 * CHOOSE(CONTROL!$C$22, $C$13, 100%, $E$13)</f>
        <v>30.814699999999998</v>
      </c>
      <c r="J916" s="64">
        <f>17.7095 * CHOOSE(CONTROL!$C$22, $C$13, 100%, $E$13)</f>
        <v>17.709499999999998</v>
      </c>
      <c r="K916" s="64">
        <f>17.7096 * CHOOSE(CONTROL!$C$22, $C$13, 100%, $E$13)</f>
        <v>17.709599999999998</v>
      </c>
    </row>
    <row r="917" spans="1:11" ht="15">
      <c r="A917" s="13">
        <v>69399</v>
      </c>
      <c r="B917" s="63">
        <f>15.7277 * CHOOSE(CONTROL!$C$22, $C$13, 100%, $E$13)</f>
        <v>15.7277</v>
      </c>
      <c r="C917" s="63">
        <f>15.7277 * CHOOSE(CONTROL!$C$22, $C$13, 100%, $E$13)</f>
        <v>15.7277</v>
      </c>
      <c r="D917" s="63">
        <f>15.7277 * CHOOSE(CONTROL!$C$22, $C$13, 100%, $E$13)</f>
        <v>15.7277</v>
      </c>
      <c r="E917" s="64">
        <f>17.796 * CHOOSE(CONTROL!$C$22, $C$13, 100%, $E$13)</f>
        <v>17.795999999999999</v>
      </c>
      <c r="F917" s="64">
        <f>17.796 * CHOOSE(CONTROL!$C$22, $C$13, 100%, $E$13)</f>
        <v>17.795999999999999</v>
      </c>
      <c r="G917" s="64">
        <f>17.7961 * CHOOSE(CONTROL!$C$22, $C$13, 100%, $E$13)</f>
        <v>17.796099999999999</v>
      </c>
      <c r="H917" s="64">
        <f>30.563* CHOOSE(CONTROL!$C$22, $C$13, 100%, $E$13)</f>
        <v>30.562999999999999</v>
      </c>
      <c r="I917" s="64">
        <f>30.5631 * CHOOSE(CONTROL!$C$22, $C$13, 100%, $E$13)</f>
        <v>30.563099999999999</v>
      </c>
      <c r="J917" s="64">
        <f>17.796 * CHOOSE(CONTROL!$C$22, $C$13, 100%, $E$13)</f>
        <v>17.795999999999999</v>
      </c>
      <c r="K917" s="64">
        <f>17.7961 * CHOOSE(CONTROL!$C$22, $C$13, 100%, $E$13)</f>
        <v>17.796099999999999</v>
      </c>
    </row>
    <row r="918" spans="1:11" ht="15">
      <c r="A918" s="13">
        <v>69430</v>
      </c>
      <c r="B918" s="63">
        <f>15.7247 * CHOOSE(CONTROL!$C$22, $C$13, 100%, $E$13)</f>
        <v>15.7247</v>
      </c>
      <c r="C918" s="63">
        <f>15.7247 * CHOOSE(CONTROL!$C$22, $C$13, 100%, $E$13)</f>
        <v>15.7247</v>
      </c>
      <c r="D918" s="63">
        <f>15.7247 * CHOOSE(CONTROL!$C$22, $C$13, 100%, $E$13)</f>
        <v>15.7247</v>
      </c>
      <c r="E918" s="64">
        <f>17.4747 * CHOOSE(CONTROL!$C$22, $C$13, 100%, $E$13)</f>
        <v>17.474699999999999</v>
      </c>
      <c r="F918" s="64">
        <f>17.4747 * CHOOSE(CONTROL!$C$22, $C$13, 100%, $E$13)</f>
        <v>17.474699999999999</v>
      </c>
      <c r="G918" s="64">
        <f>17.4748 * CHOOSE(CONTROL!$C$22, $C$13, 100%, $E$13)</f>
        <v>17.474799999999998</v>
      </c>
      <c r="H918" s="64">
        <f>30.6267* CHOOSE(CONTROL!$C$22, $C$13, 100%, $E$13)</f>
        <v>30.6267</v>
      </c>
      <c r="I918" s="64">
        <f>30.6268 * CHOOSE(CONTROL!$C$22, $C$13, 100%, $E$13)</f>
        <v>30.626799999999999</v>
      </c>
      <c r="J918" s="64">
        <f>17.4747 * CHOOSE(CONTROL!$C$22, $C$13, 100%, $E$13)</f>
        <v>17.474699999999999</v>
      </c>
      <c r="K918" s="64">
        <f>17.4748 * CHOOSE(CONTROL!$C$22, $C$13, 100%, $E$13)</f>
        <v>17.474799999999998</v>
      </c>
    </row>
    <row r="919" spans="1:11" ht="15">
      <c r="A919" s="13">
        <v>69458</v>
      </c>
      <c r="B919" s="63">
        <f>15.7217 * CHOOSE(CONTROL!$C$22, $C$13, 100%, $E$13)</f>
        <v>15.7217</v>
      </c>
      <c r="C919" s="63">
        <f>15.7217 * CHOOSE(CONTROL!$C$22, $C$13, 100%, $E$13)</f>
        <v>15.7217</v>
      </c>
      <c r="D919" s="63">
        <f>15.7217 * CHOOSE(CONTROL!$C$22, $C$13, 100%, $E$13)</f>
        <v>15.7217</v>
      </c>
      <c r="E919" s="64">
        <f>17.7242 * CHOOSE(CONTROL!$C$22, $C$13, 100%, $E$13)</f>
        <v>17.7242</v>
      </c>
      <c r="F919" s="64">
        <f>17.7242 * CHOOSE(CONTROL!$C$22, $C$13, 100%, $E$13)</f>
        <v>17.7242</v>
      </c>
      <c r="G919" s="64">
        <f>17.7243 * CHOOSE(CONTROL!$C$22, $C$13, 100%, $E$13)</f>
        <v>17.724299999999999</v>
      </c>
      <c r="H919" s="64">
        <f>30.6905* CHOOSE(CONTROL!$C$22, $C$13, 100%, $E$13)</f>
        <v>30.6905</v>
      </c>
      <c r="I919" s="64">
        <f>30.6906 * CHOOSE(CONTROL!$C$22, $C$13, 100%, $E$13)</f>
        <v>30.6906</v>
      </c>
      <c r="J919" s="64">
        <f>17.7242 * CHOOSE(CONTROL!$C$22, $C$13, 100%, $E$13)</f>
        <v>17.7242</v>
      </c>
      <c r="K919" s="64">
        <f>17.7243 * CHOOSE(CONTROL!$C$22, $C$13, 100%, $E$13)</f>
        <v>17.724299999999999</v>
      </c>
    </row>
    <row r="920" spans="1:11" ht="15">
      <c r="A920" s="13">
        <v>69489</v>
      </c>
      <c r="B920" s="63">
        <f>15.7291 * CHOOSE(CONTROL!$C$22, $C$13, 100%, $E$13)</f>
        <v>15.729100000000001</v>
      </c>
      <c r="C920" s="63">
        <f>15.7291 * CHOOSE(CONTROL!$C$22, $C$13, 100%, $E$13)</f>
        <v>15.729100000000001</v>
      </c>
      <c r="D920" s="63">
        <f>15.7291 * CHOOSE(CONTROL!$C$22, $C$13, 100%, $E$13)</f>
        <v>15.729100000000001</v>
      </c>
      <c r="E920" s="64">
        <f>17.9902 * CHOOSE(CONTROL!$C$22, $C$13, 100%, $E$13)</f>
        <v>17.990200000000002</v>
      </c>
      <c r="F920" s="64">
        <f>17.9902 * CHOOSE(CONTROL!$C$22, $C$13, 100%, $E$13)</f>
        <v>17.990200000000002</v>
      </c>
      <c r="G920" s="64">
        <f>17.9903 * CHOOSE(CONTROL!$C$22, $C$13, 100%, $E$13)</f>
        <v>17.990300000000001</v>
      </c>
      <c r="H920" s="64">
        <f>30.7545* CHOOSE(CONTROL!$C$22, $C$13, 100%, $E$13)</f>
        <v>30.7545</v>
      </c>
      <c r="I920" s="64">
        <f>30.7545 * CHOOSE(CONTROL!$C$22, $C$13, 100%, $E$13)</f>
        <v>30.7545</v>
      </c>
      <c r="J920" s="64">
        <f>17.9902 * CHOOSE(CONTROL!$C$22, $C$13, 100%, $E$13)</f>
        <v>17.990200000000002</v>
      </c>
      <c r="K920" s="64">
        <f>17.9903 * CHOOSE(CONTROL!$C$22, $C$13, 100%, $E$13)</f>
        <v>17.990300000000001</v>
      </c>
    </row>
    <row r="921" spans="1:11" ht="15">
      <c r="A921" s="13">
        <v>69519</v>
      </c>
      <c r="B921" s="63">
        <f>15.7291 * CHOOSE(CONTROL!$C$22, $C$13, 100%, $E$13)</f>
        <v>15.729100000000001</v>
      </c>
      <c r="C921" s="63">
        <f>15.7291 * CHOOSE(CONTROL!$C$22, $C$13, 100%, $E$13)</f>
        <v>15.729100000000001</v>
      </c>
      <c r="D921" s="63">
        <f>15.7372 * CHOOSE(CONTROL!$C$22, $C$13, 100%, $E$13)</f>
        <v>15.7372</v>
      </c>
      <c r="E921" s="64">
        <f>18.0916 * CHOOSE(CONTROL!$C$22, $C$13, 100%, $E$13)</f>
        <v>18.0916</v>
      </c>
      <c r="F921" s="64">
        <f>18.0916 * CHOOSE(CONTROL!$C$22, $C$13, 100%, $E$13)</f>
        <v>18.0916</v>
      </c>
      <c r="G921" s="64">
        <f>18.1014 * CHOOSE(CONTROL!$C$22, $C$13, 100%, $E$13)</f>
        <v>18.101400000000002</v>
      </c>
      <c r="H921" s="64">
        <f>30.8185* CHOOSE(CONTROL!$C$22, $C$13, 100%, $E$13)</f>
        <v>30.8185</v>
      </c>
      <c r="I921" s="64">
        <f>30.8284 * CHOOSE(CONTROL!$C$22, $C$13, 100%, $E$13)</f>
        <v>30.828399999999998</v>
      </c>
      <c r="J921" s="64">
        <f>18.0916 * CHOOSE(CONTROL!$C$22, $C$13, 100%, $E$13)</f>
        <v>18.0916</v>
      </c>
      <c r="K921" s="64">
        <f>18.1014 * CHOOSE(CONTROL!$C$22, $C$13, 100%, $E$13)</f>
        <v>18.101400000000002</v>
      </c>
    </row>
    <row r="922" spans="1:11" ht="15">
      <c r="A922" s="13">
        <v>69550</v>
      </c>
      <c r="B922" s="63">
        <f>15.7352 * CHOOSE(CONTROL!$C$22, $C$13, 100%, $E$13)</f>
        <v>15.735200000000001</v>
      </c>
      <c r="C922" s="63">
        <f>15.7352 * CHOOSE(CONTROL!$C$22, $C$13, 100%, $E$13)</f>
        <v>15.735200000000001</v>
      </c>
      <c r="D922" s="63">
        <f>15.7433 * CHOOSE(CONTROL!$C$22, $C$13, 100%, $E$13)</f>
        <v>15.7433</v>
      </c>
      <c r="E922" s="64">
        <f>17.9945 * CHOOSE(CONTROL!$C$22, $C$13, 100%, $E$13)</f>
        <v>17.994499999999999</v>
      </c>
      <c r="F922" s="64">
        <f>17.9945 * CHOOSE(CONTROL!$C$22, $C$13, 100%, $E$13)</f>
        <v>17.994499999999999</v>
      </c>
      <c r="G922" s="64">
        <f>18.0043 * CHOOSE(CONTROL!$C$22, $C$13, 100%, $E$13)</f>
        <v>18.004300000000001</v>
      </c>
      <c r="H922" s="64">
        <f>30.8827* CHOOSE(CONTROL!$C$22, $C$13, 100%, $E$13)</f>
        <v>30.8827</v>
      </c>
      <c r="I922" s="64">
        <f>30.8926 * CHOOSE(CONTROL!$C$22, $C$13, 100%, $E$13)</f>
        <v>30.892600000000002</v>
      </c>
      <c r="J922" s="64">
        <f>17.9945 * CHOOSE(CONTROL!$C$22, $C$13, 100%, $E$13)</f>
        <v>17.994499999999999</v>
      </c>
      <c r="K922" s="64">
        <f>18.0043 * CHOOSE(CONTROL!$C$22, $C$13, 100%, $E$13)</f>
        <v>18.004300000000001</v>
      </c>
    </row>
    <row r="923" spans="1:11" ht="15">
      <c r="A923" s="13">
        <v>69580</v>
      </c>
      <c r="B923" s="63">
        <f>15.9727 * CHOOSE(CONTROL!$C$22, $C$13, 100%, $E$13)</f>
        <v>15.9727</v>
      </c>
      <c r="C923" s="63">
        <f>15.9727 * CHOOSE(CONTROL!$C$22, $C$13, 100%, $E$13)</f>
        <v>15.9727</v>
      </c>
      <c r="D923" s="63">
        <f>15.9808 * CHOOSE(CONTROL!$C$22, $C$13, 100%, $E$13)</f>
        <v>15.9808</v>
      </c>
      <c r="E923" s="64">
        <f>18.2793 * CHOOSE(CONTROL!$C$22, $C$13, 100%, $E$13)</f>
        <v>18.279299999999999</v>
      </c>
      <c r="F923" s="64">
        <f>18.2793 * CHOOSE(CONTROL!$C$22, $C$13, 100%, $E$13)</f>
        <v>18.279299999999999</v>
      </c>
      <c r="G923" s="64">
        <f>18.2891 * CHOOSE(CONTROL!$C$22, $C$13, 100%, $E$13)</f>
        <v>18.289100000000001</v>
      </c>
      <c r="H923" s="64">
        <f>30.9471* CHOOSE(CONTROL!$C$22, $C$13, 100%, $E$13)</f>
        <v>30.947099999999999</v>
      </c>
      <c r="I923" s="64">
        <f>30.9569 * CHOOSE(CONTROL!$C$22, $C$13, 100%, $E$13)</f>
        <v>30.956900000000001</v>
      </c>
      <c r="J923" s="64">
        <f>18.2793 * CHOOSE(CONTROL!$C$22, $C$13, 100%, $E$13)</f>
        <v>18.279299999999999</v>
      </c>
      <c r="K923" s="64">
        <f>18.2891 * CHOOSE(CONTROL!$C$22, $C$13, 100%, $E$13)</f>
        <v>18.289100000000001</v>
      </c>
    </row>
    <row r="924" spans="1:11" ht="15">
      <c r="A924" s="13">
        <v>69611</v>
      </c>
      <c r="B924" s="63">
        <f>15.9794 * CHOOSE(CONTROL!$C$22, $C$13, 100%, $E$13)</f>
        <v>15.9794</v>
      </c>
      <c r="C924" s="63">
        <f>15.9794 * CHOOSE(CONTROL!$C$22, $C$13, 100%, $E$13)</f>
        <v>15.9794</v>
      </c>
      <c r="D924" s="63">
        <f>15.9875 * CHOOSE(CONTROL!$C$22, $C$13, 100%, $E$13)</f>
        <v>15.987500000000001</v>
      </c>
      <c r="E924" s="64">
        <f>17.98 * CHOOSE(CONTROL!$C$22, $C$13, 100%, $E$13)</f>
        <v>17.98</v>
      </c>
      <c r="F924" s="64">
        <f>17.98 * CHOOSE(CONTROL!$C$22, $C$13, 100%, $E$13)</f>
        <v>17.98</v>
      </c>
      <c r="G924" s="64">
        <f>17.9898 * CHOOSE(CONTROL!$C$22, $C$13, 100%, $E$13)</f>
        <v>17.989799999999999</v>
      </c>
      <c r="H924" s="64">
        <f>31.0115* CHOOSE(CONTROL!$C$22, $C$13, 100%, $E$13)</f>
        <v>31.011500000000002</v>
      </c>
      <c r="I924" s="64">
        <f>31.0214 * CHOOSE(CONTROL!$C$22, $C$13, 100%, $E$13)</f>
        <v>31.0214</v>
      </c>
      <c r="J924" s="64">
        <f>17.98 * CHOOSE(CONTROL!$C$22, $C$13, 100%, $E$13)</f>
        <v>17.98</v>
      </c>
      <c r="K924" s="64">
        <f>17.9898 * CHOOSE(CONTROL!$C$22, $C$13, 100%, $E$13)</f>
        <v>17.989799999999999</v>
      </c>
    </row>
    <row r="925" spans="1:11" ht="15">
      <c r="A925" s="13">
        <v>69642</v>
      </c>
      <c r="B925" s="63">
        <f>15.9763 * CHOOSE(CONTROL!$C$22, $C$13, 100%, $E$13)</f>
        <v>15.9763</v>
      </c>
      <c r="C925" s="63">
        <f>15.9763 * CHOOSE(CONTROL!$C$22, $C$13, 100%, $E$13)</f>
        <v>15.9763</v>
      </c>
      <c r="D925" s="63">
        <f>15.9844 * CHOOSE(CONTROL!$C$22, $C$13, 100%, $E$13)</f>
        <v>15.984400000000001</v>
      </c>
      <c r="E925" s="64">
        <f>17.9441 * CHOOSE(CONTROL!$C$22, $C$13, 100%, $E$13)</f>
        <v>17.944099999999999</v>
      </c>
      <c r="F925" s="64">
        <f>17.9441 * CHOOSE(CONTROL!$C$22, $C$13, 100%, $E$13)</f>
        <v>17.944099999999999</v>
      </c>
      <c r="G925" s="64">
        <f>17.9539 * CHOOSE(CONTROL!$C$22, $C$13, 100%, $E$13)</f>
        <v>17.953900000000001</v>
      </c>
      <c r="H925" s="64">
        <f>31.0762* CHOOSE(CONTROL!$C$22, $C$13, 100%, $E$13)</f>
        <v>31.0762</v>
      </c>
      <c r="I925" s="64">
        <f>31.086 * CHOOSE(CONTROL!$C$22, $C$13, 100%, $E$13)</f>
        <v>31.085999999999999</v>
      </c>
      <c r="J925" s="64">
        <f>17.9441 * CHOOSE(CONTROL!$C$22, $C$13, 100%, $E$13)</f>
        <v>17.944099999999999</v>
      </c>
      <c r="K925" s="64">
        <f>17.9539 * CHOOSE(CONTROL!$C$22, $C$13, 100%, $E$13)</f>
        <v>17.953900000000001</v>
      </c>
    </row>
    <row r="926" spans="1:11" ht="15">
      <c r="A926" s="13">
        <v>69672</v>
      </c>
      <c r="B926" s="63">
        <f>16.0099 * CHOOSE(CONTROL!$C$22, $C$13, 100%, $E$13)</f>
        <v>16.009899999999998</v>
      </c>
      <c r="C926" s="63">
        <f>16.0099 * CHOOSE(CONTROL!$C$22, $C$13, 100%, $E$13)</f>
        <v>16.009899999999998</v>
      </c>
      <c r="D926" s="63">
        <f>16.0099 * CHOOSE(CONTROL!$C$22, $C$13, 100%, $E$13)</f>
        <v>16.009899999999998</v>
      </c>
      <c r="E926" s="64">
        <f>18.0658 * CHOOSE(CONTROL!$C$22, $C$13, 100%, $E$13)</f>
        <v>18.065799999999999</v>
      </c>
      <c r="F926" s="64">
        <f>18.0658 * CHOOSE(CONTROL!$C$22, $C$13, 100%, $E$13)</f>
        <v>18.065799999999999</v>
      </c>
      <c r="G926" s="64">
        <f>18.0658 * CHOOSE(CONTROL!$C$22, $C$13, 100%, $E$13)</f>
        <v>18.065799999999999</v>
      </c>
      <c r="H926" s="64">
        <f>31.1409* CHOOSE(CONTROL!$C$22, $C$13, 100%, $E$13)</f>
        <v>31.140899999999998</v>
      </c>
      <c r="I926" s="64">
        <f>31.141 * CHOOSE(CONTROL!$C$22, $C$13, 100%, $E$13)</f>
        <v>31.140999999999998</v>
      </c>
      <c r="J926" s="64">
        <f>18.0658 * CHOOSE(CONTROL!$C$22, $C$13, 100%, $E$13)</f>
        <v>18.065799999999999</v>
      </c>
      <c r="K926" s="64">
        <f>18.0658 * CHOOSE(CONTROL!$C$22, $C$13, 100%, $E$13)</f>
        <v>18.065799999999999</v>
      </c>
    </row>
    <row r="927" spans="1:11" ht="15">
      <c r="A927" s="13">
        <v>69703</v>
      </c>
      <c r="B927" s="63">
        <f>16.0129 * CHOOSE(CONTROL!$C$22, $C$13, 100%, $E$13)</f>
        <v>16.012899999999998</v>
      </c>
      <c r="C927" s="63">
        <f>16.0129 * CHOOSE(CONTROL!$C$22, $C$13, 100%, $E$13)</f>
        <v>16.012899999999998</v>
      </c>
      <c r="D927" s="63">
        <f>16.0129 * CHOOSE(CONTROL!$C$22, $C$13, 100%, $E$13)</f>
        <v>16.012899999999998</v>
      </c>
      <c r="E927" s="64">
        <f>18.1354 * CHOOSE(CONTROL!$C$22, $C$13, 100%, $E$13)</f>
        <v>18.135400000000001</v>
      </c>
      <c r="F927" s="64">
        <f>18.1354 * CHOOSE(CONTROL!$C$22, $C$13, 100%, $E$13)</f>
        <v>18.135400000000001</v>
      </c>
      <c r="G927" s="64">
        <f>18.1355 * CHOOSE(CONTROL!$C$22, $C$13, 100%, $E$13)</f>
        <v>18.1355</v>
      </c>
      <c r="H927" s="64">
        <f>31.2058* CHOOSE(CONTROL!$C$22, $C$13, 100%, $E$13)</f>
        <v>31.2058</v>
      </c>
      <c r="I927" s="64">
        <f>31.2059 * CHOOSE(CONTROL!$C$22, $C$13, 100%, $E$13)</f>
        <v>31.2059</v>
      </c>
      <c r="J927" s="64">
        <f>18.1354 * CHOOSE(CONTROL!$C$22, $C$13, 100%, $E$13)</f>
        <v>18.135400000000001</v>
      </c>
      <c r="K927" s="64">
        <f>18.1355 * CHOOSE(CONTROL!$C$22, $C$13, 100%, $E$13)</f>
        <v>18.1355</v>
      </c>
    </row>
    <row r="928" spans="1:11" ht="15">
      <c r="A928" s="13">
        <v>69733</v>
      </c>
      <c r="B928" s="63">
        <f>16.0129 * CHOOSE(CONTROL!$C$22, $C$13, 100%, $E$13)</f>
        <v>16.012899999999998</v>
      </c>
      <c r="C928" s="63">
        <f>16.0129 * CHOOSE(CONTROL!$C$22, $C$13, 100%, $E$13)</f>
        <v>16.012899999999998</v>
      </c>
      <c r="D928" s="63">
        <f>16.0129 * CHOOSE(CONTROL!$C$22, $C$13, 100%, $E$13)</f>
        <v>16.012899999999998</v>
      </c>
      <c r="E928" s="64">
        <f>17.9666 * CHOOSE(CONTROL!$C$22, $C$13, 100%, $E$13)</f>
        <v>17.9666</v>
      </c>
      <c r="F928" s="64">
        <f>17.9666 * CHOOSE(CONTROL!$C$22, $C$13, 100%, $E$13)</f>
        <v>17.9666</v>
      </c>
      <c r="G928" s="64">
        <f>17.9666 * CHOOSE(CONTROL!$C$22, $C$13, 100%, $E$13)</f>
        <v>17.9666</v>
      </c>
      <c r="H928" s="64">
        <f>31.2708* CHOOSE(CONTROL!$C$22, $C$13, 100%, $E$13)</f>
        <v>31.270800000000001</v>
      </c>
      <c r="I928" s="64">
        <f>31.2709 * CHOOSE(CONTROL!$C$22, $C$13, 100%, $E$13)</f>
        <v>31.270900000000001</v>
      </c>
      <c r="J928" s="64">
        <f>17.9666 * CHOOSE(CONTROL!$C$22, $C$13, 100%, $E$13)</f>
        <v>17.9666</v>
      </c>
      <c r="K928" s="64">
        <f>17.9666 * CHOOSE(CONTROL!$C$22, $C$13, 100%, $E$13)</f>
        <v>17.9666</v>
      </c>
    </row>
    <row r="929" spans="1:11" ht="15">
      <c r="A929" s="13">
        <v>69764</v>
      </c>
      <c r="B929" s="63">
        <f>15.9633 * CHOOSE(CONTROL!$C$22, $C$13, 100%, $E$13)</f>
        <v>15.9633</v>
      </c>
      <c r="C929" s="63">
        <f>15.9633 * CHOOSE(CONTROL!$C$22, $C$13, 100%, $E$13)</f>
        <v>15.9633</v>
      </c>
      <c r="D929" s="63">
        <f>15.9633 * CHOOSE(CONTROL!$C$22, $C$13, 100%, $E$13)</f>
        <v>15.9633</v>
      </c>
      <c r="E929" s="64">
        <f>18.0508 * CHOOSE(CONTROL!$C$22, $C$13, 100%, $E$13)</f>
        <v>18.050799999999999</v>
      </c>
      <c r="F929" s="64">
        <f>18.0508 * CHOOSE(CONTROL!$C$22, $C$13, 100%, $E$13)</f>
        <v>18.050799999999999</v>
      </c>
      <c r="G929" s="64">
        <f>18.0508 * CHOOSE(CONTROL!$C$22, $C$13, 100%, $E$13)</f>
        <v>18.050799999999999</v>
      </c>
      <c r="H929" s="64">
        <f>31.0089* CHOOSE(CONTROL!$C$22, $C$13, 100%, $E$13)</f>
        <v>31.008900000000001</v>
      </c>
      <c r="I929" s="64">
        <f>31.009 * CHOOSE(CONTROL!$C$22, $C$13, 100%, $E$13)</f>
        <v>31.009</v>
      </c>
      <c r="J929" s="64">
        <f>18.0508 * CHOOSE(CONTROL!$C$22, $C$13, 100%, $E$13)</f>
        <v>18.050799999999999</v>
      </c>
      <c r="K929" s="64">
        <f>18.0508 * CHOOSE(CONTROL!$C$22, $C$13, 100%, $E$13)</f>
        <v>18.050799999999999</v>
      </c>
    </row>
    <row r="930" spans="1:11" ht="15">
      <c r="A930" s="13">
        <v>69795</v>
      </c>
      <c r="B930" s="63">
        <f>15.9603 * CHOOSE(CONTROL!$C$22, $C$13, 100%, $E$13)</f>
        <v>15.9603</v>
      </c>
      <c r="C930" s="63">
        <f>15.9603 * CHOOSE(CONTROL!$C$22, $C$13, 100%, $E$13)</f>
        <v>15.9603</v>
      </c>
      <c r="D930" s="63">
        <f>15.9603 * CHOOSE(CONTROL!$C$22, $C$13, 100%, $E$13)</f>
        <v>15.9603</v>
      </c>
      <c r="E930" s="64">
        <f>17.7245 * CHOOSE(CONTROL!$C$22, $C$13, 100%, $E$13)</f>
        <v>17.724499999999999</v>
      </c>
      <c r="F930" s="64">
        <f>17.7245 * CHOOSE(CONTROL!$C$22, $C$13, 100%, $E$13)</f>
        <v>17.724499999999999</v>
      </c>
      <c r="G930" s="64">
        <f>17.7246 * CHOOSE(CONTROL!$C$22, $C$13, 100%, $E$13)</f>
        <v>17.724599999999999</v>
      </c>
      <c r="H930" s="64">
        <f>31.0735* CHOOSE(CONTROL!$C$22, $C$13, 100%, $E$13)</f>
        <v>31.073499999999999</v>
      </c>
      <c r="I930" s="64">
        <f>31.0736 * CHOOSE(CONTROL!$C$22, $C$13, 100%, $E$13)</f>
        <v>31.073599999999999</v>
      </c>
      <c r="J930" s="64">
        <f>17.7245 * CHOOSE(CONTROL!$C$22, $C$13, 100%, $E$13)</f>
        <v>17.724499999999999</v>
      </c>
      <c r="K930" s="64">
        <f>17.7246 * CHOOSE(CONTROL!$C$22, $C$13, 100%, $E$13)</f>
        <v>17.724599999999999</v>
      </c>
    </row>
    <row r="931" spans="1:11" ht="15">
      <c r="A931" s="13">
        <v>69823</v>
      </c>
      <c r="B931" s="63">
        <f>15.9572 * CHOOSE(CONTROL!$C$22, $C$13, 100%, $E$13)</f>
        <v>15.9572</v>
      </c>
      <c r="C931" s="63">
        <f>15.9572 * CHOOSE(CONTROL!$C$22, $C$13, 100%, $E$13)</f>
        <v>15.9572</v>
      </c>
      <c r="D931" s="63">
        <f>15.9572 * CHOOSE(CONTROL!$C$22, $C$13, 100%, $E$13)</f>
        <v>15.9572</v>
      </c>
      <c r="E931" s="64">
        <f>17.9779 * CHOOSE(CONTROL!$C$22, $C$13, 100%, $E$13)</f>
        <v>17.977900000000002</v>
      </c>
      <c r="F931" s="64">
        <f>17.9779 * CHOOSE(CONTROL!$C$22, $C$13, 100%, $E$13)</f>
        <v>17.977900000000002</v>
      </c>
      <c r="G931" s="64">
        <f>17.978 * CHOOSE(CONTROL!$C$22, $C$13, 100%, $E$13)</f>
        <v>17.978000000000002</v>
      </c>
      <c r="H931" s="64">
        <f>31.1383* CHOOSE(CONTROL!$C$22, $C$13, 100%, $E$13)</f>
        <v>31.138300000000001</v>
      </c>
      <c r="I931" s="64">
        <f>31.1384 * CHOOSE(CONTROL!$C$22, $C$13, 100%, $E$13)</f>
        <v>31.138400000000001</v>
      </c>
      <c r="J931" s="64">
        <f>17.9779 * CHOOSE(CONTROL!$C$22, $C$13, 100%, $E$13)</f>
        <v>17.977900000000002</v>
      </c>
      <c r="K931" s="64">
        <f>17.978 * CHOOSE(CONTROL!$C$22, $C$13, 100%, $E$13)</f>
        <v>17.978000000000002</v>
      </c>
    </row>
    <row r="932" spans="1:11" ht="15">
      <c r="A932" s="13">
        <v>69854</v>
      </c>
      <c r="B932" s="63">
        <f>15.9649 * CHOOSE(CONTROL!$C$22, $C$13, 100%, $E$13)</f>
        <v>15.9649</v>
      </c>
      <c r="C932" s="63">
        <f>15.9649 * CHOOSE(CONTROL!$C$22, $C$13, 100%, $E$13)</f>
        <v>15.9649</v>
      </c>
      <c r="D932" s="63">
        <f>15.9649 * CHOOSE(CONTROL!$C$22, $C$13, 100%, $E$13)</f>
        <v>15.9649</v>
      </c>
      <c r="E932" s="64">
        <f>18.2481 * CHOOSE(CONTROL!$C$22, $C$13, 100%, $E$13)</f>
        <v>18.248100000000001</v>
      </c>
      <c r="F932" s="64">
        <f>18.2481 * CHOOSE(CONTROL!$C$22, $C$13, 100%, $E$13)</f>
        <v>18.248100000000001</v>
      </c>
      <c r="G932" s="64">
        <f>18.2482 * CHOOSE(CONTROL!$C$22, $C$13, 100%, $E$13)</f>
        <v>18.248200000000001</v>
      </c>
      <c r="H932" s="64">
        <f>31.2031* CHOOSE(CONTROL!$C$22, $C$13, 100%, $E$13)</f>
        <v>31.203099999999999</v>
      </c>
      <c r="I932" s="64">
        <f>31.2032 * CHOOSE(CONTROL!$C$22, $C$13, 100%, $E$13)</f>
        <v>31.203199999999999</v>
      </c>
      <c r="J932" s="64">
        <f>18.2481 * CHOOSE(CONTROL!$C$22, $C$13, 100%, $E$13)</f>
        <v>18.248100000000001</v>
      </c>
      <c r="K932" s="64">
        <f>18.2482 * CHOOSE(CONTROL!$C$22, $C$13, 100%, $E$13)</f>
        <v>18.248200000000001</v>
      </c>
    </row>
    <row r="933" spans="1:11" ht="15">
      <c r="A933" s="13">
        <v>69884</v>
      </c>
      <c r="B933" s="63">
        <f>15.9649 * CHOOSE(CONTROL!$C$22, $C$13, 100%, $E$13)</f>
        <v>15.9649</v>
      </c>
      <c r="C933" s="63">
        <f>15.9649 * CHOOSE(CONTROL!$C$22, $C$13, 100%, $E$13)</f>
        <v>15.9649</v>
      </c>
      <c r="D933" s="63">
        <f>15.973 * CHOOSE(CONTROL!$C$22, $C$13, 100%, $E$13)</f>
        <v>15.973000000000001</v>
      </c>
      <c r="E933" s="64">
        <f>18.351 * CHOOSE(CONTROL!$C$22, $C$13, 100%, $E$13)</f>
        <v>18.350999999999999</v>
      </c>
      <c r="F933" s="64">
        <f>18.351 * CHOOSE(CONTROL!$C$22, $C$13, 100%, $E$13)</f>
        <v>18.350999999999999</v>
      </c>
      <c r="G933" s="64">
        <f>18.3608 * CHOOSE(CONTROL!$C$22, $C$13, 100%, $E$13)</f>
        <v>18.360800000000001</v>
      </c>
      <c r="H933" s="64">
        <f>31.2681* CHOOSE(CONTROL!$C$22, $C$13, 100%, $E$13)</f>
        <v>31.2681</v>
      </c>
      <c r="I933" s="64">
        <f>31.278 * CHOOSE(CONTROL!$C$22, $C$13, 100%, $E$13)</f>
        <v>31.277999999999999</v>
      </c>
      <c r="J933" s="64">
        <f>18.351 * CHOOSE(CONTROL!$C$22, $C$13, 100%, $E$13)</f>
        <v>18.350999999999999</v>
      </c>
      <c r="K933" s="64">
        <f>18.3608 * CHOOSE(CONTROL!$C$22, $C$13, 100%, $E$13)</f>
        <v>18.360800000000001</v>
      </c>
    </row>
    <row r="934" spans="1:11" ht="15">
      <c r="A934" s="13">
        <v>69915</v>
      </c>
      <c r="B934" s="63">
        <f>15.971 * CHOOSE(CONTROL!$C$22, $C$13, 100%, $E$13)</f>
        <v>15.971</v>
      </c>
      <c r="C934" s="63">
        <f>15.971 * CHOOSE(CONTROL!$C$22, $C$13, 100%, $E$13)</f>
        <v>15.971</v>
      </c>
      <c r="D934" s="63">
        <f>15.9791 * CHOOSE(CONTROL!$C$22, $C$13, 100%, $E$13)</f>
        <v>15.979100000000001</v>
      </c>
      <c r="E934" s="64">
        <f>18.2523 * CHOOSE(CONTROL!$C$22, $C$13, 100%, $E$13)</f>
        <v>18.252300000000002</v>
      </c>
      <c r="F934" s="64">
        <f>18.2523 * CHOOSE(CONTROL!$C$22, $C$13, 100%, $E$13)</f>
        <v>18.252300000000002</v>
      </c>
      <c r="G934" s="64">
        <f>18.2621 * CHOOSE(CONTROL!$C$22, $C$13, 100%, $E$13)</f>
        <v>18.2621</v>
      </c>
      <c r="H934" s="64">
        <f>31.3333* CHOOSE(CONTROL!$C$22, $C$13, 100%, $E$13)</f>
        <v>31.333300000000001</v>
      </c>
      <c r="I934" s="64">
        <f>31.3431 * CHOOSE(CONTROL!$C$22, $C$13, 100%, $E$13)</f>
        <v>31.3431</v>
      </c>
      <c r="J934" s="64">
        <f>18.2523 * CHOOSE(CONTROL!$C$22, $C$13, 100%, $E$13)</f>
        <v>18.252300000000002</v>
      </c>
      <c r="K934" s="64">
        <f>18.2621 * CHOOSE(CONTROL!$C$22, $C$13, 100%, $E$13)</f>
        <v>18.2621</v>
      </c>
    </row>
    <row r="935" spans="1:11" ht="15">
      <c r="A935" s="13">
        <v>69945</v>
      </c>
      <c r="B935" s="63">
        <f>16.2119 * CHOOSE(CONTROL!$C$22, $C$13, 100%, $E$13)</f>
        <v>16.2119</v>
      </c>
      <c r="C935" s="63">
        <f>16.2119 * CHOOSE(CONTROL!$C$22, $C$13, 100%, $E$13)</f>
        <v>16.2119</v>
      </c>
      <c r="D935" s="63">
        <f>16.22 * CHOOSE(CONTROL!$C$22, $C$13, 100%, $E$13)</f>
        <v>16.22</v>
      </c>
      <c r="E935" s="64">
        <f>18.5411 * CHOOSE(CONTROL!$C$22, $C$13, 100%, $E$13)</f>
        <v>18.5411</v>
      </c>
      <c r="F935" s="64">
        <f>18.5411 * CHOOSE(CONTROL!$C$22, $C$13, 100%, $E$13)</f>
        <v>18.5411</v>
      </c>
      <c r="G935" s="64">
        <f>18.5509 * CHOOSE(CONTROL!$C$22, $C$13, 100%, $E$13)</f>
        <v>18.550899999999999</v>
      </c>
      <c r="H935" s="64">
        <f>31.3986* CHOOSE(CONTROL!$C$22, $C$13, 100%, $E$13)</f>
        <v>31.398599999999998</v>
      </c>
      <c r="I935" s="64">
        <f>31.4084 * CHOOSE(CONTROL!$C$22, $C$13, 100%, $E$13)</f>
        <v>31.4084</v>
      </c>
      <c r="J935" s="64">
        <f>18.5411 * CHOOSE(CONTROL!$C$22, $C$13, 100%, $E$13)</f>
        <v>18.5411</v>
      </c>
      <c r="K935" s="64">
        <f>18.5509 * CHOOSE(CONTROL!$C$22, $C$13, 100%, $E$13)</f>
        <v>18.550899999999999</v>
      </c>
    </row>
    <row r="936" spans="1:11" ht="15">
      <c r="A936" s="13">
        <v>69976</v>
      </c>
      <c r="B936" s="63">
        <f>16.2185 * CHOOSE(CONTROL!$C$22, $C$13, 100%, $E$13)</f>
        <v>16.218499999999999</v>
      </c>
      <c r="C936" s="63">
        <f>16.2185 * CHOOSE(CONTROL!$C$22, $C$13, 100%, $E$13)</f>
        <v>16.218499999999999</v>
      </c>
      <c r="D936" s="63">
        <f>16.2267 * CHOOSE(CONTROL!$C$22, $C$13, 100%, $E$13)</f>
        <v>16.226700000000001</v>
      </c>
      <c r="E936" s="64">
        <f>18.237 * CHOOSE(CONTROL!$C$22, $C$13, 100%, $E$13)</f>
        <v>18.236999999999998</v>
      </c>
      <c r="F936" s="64">
        <f>18.237 * CHOOSE(CONTROL!$C$22, $C$13, 100%, $E$13)</f>
        <v>18.236999999999998</v>
      </c>
      <c r="G936" s="64">
        <f>18.2469 * CHOOSE(CONTROL!$C$22, $C$13, 100%, $E$13)</f>
        <v>18.2469</v>
      </c>
      <c r="H936" s="64">
        <f>31.464* CHOOSE(CONTROL!$C$22, $C$13, 100%, $E$13)</f>
        <v>31.463999999999999</v>
      </c>
      <c r="I936" s="64">
        <f>31.4738 * CHOOSE(CONTROL!$C$22, $C$13, 100%, $E$13)</f>
        <v>31.473800000000001</v>
      </c>
      <c r="J936" s="64">
        <f>18.237 * CHOOSE(CONTROL!$C$22, $C$13, 100%, $E$13)</f>
        <v>18.236999999999998</v>
      </c>
      <c r="K936" s="64">
        <f>18.2469 * CHOOSE(CONTROL!$C$22, $C$13, 100%, $E$13)</f>
        <v>18.2469</v>
      </c>
    </row>
    <row r="937" spans="1:11" ht="15">
      <c r="A937" s="13">
        <v>70007</v>
      </c>
      <c r="B937" s="63">
        <f>16.2155 * CHOOSE(CONTROL!$C$22, $C$13, 100%, $E$13)</f>
        <v>16.215499999999999</v>
      </c>
      <c r="C937" s="63">
        <f>16.2155 * CHOOSE(CONTROL!$C$22, $C$13, 100%, $E$13)</f>
        <v>16.215499999999999</v>
      </c>
      <c r="D937" s="63">
        <f>16.2236 * CHOOSE(CONTROL!$C$22, $C$13, 100%, $E$13)</f>
        <v>16.223600000000001</v>
      </c>
      <c r="E937" s="64">
        <f>18.2006 * CHOOSE(CONTROL!$C$22, $C$13, 100%, $E$13)</f>
        <v>18.200600000000001</v>
      </c>
      <c r="F937" s="64">
        <f>18.2006 * CHOOSE(CONTROL!$C$22, $C$13, 100%, $E$13)</f>
        <v>18.200600000000001</v>
      </c>
      <c r="G937" s="64">
        <f>18.2105 * CHOOSE(CONTROL!$C$22, $C$13, 100%, $E$13)</f>
        <v>18.2105</v>
      </c>
      <c r="H937" s="64">
        <f>31.5295* CHOOSE(CONTROL!$C$22, $C$13, 100%, $E$13)</f>
        <v>31.529499999999999</v>
      </c>
      <c r="I937" s="64">
        <f>31.5394 * CHOOSE(CONTROL!$C$22, $C$13, 100%, $E$13)</f>
        <v>31.539400000000001</v>
      </c>
      <c r="J937" s="64">
        <f>18.2006 * CHOOSE(CONTROL!$C$22, $C$13, 100%, $E$13)</f>
        <v>18.200600000000001</v>
      </c>
      <c r="K937" s="64">
        <f>18.2105 * CHOOSE(CONTROL!$C$22, $C$13, 100%, $E$13)</f>
        <v>18.2105</v>
      </c>
    </row>
    <row r="938" spans="1:11" ht="15">
      <c r="A938" s="13">
        <v>70037</v>
      </c>
      <c r="B938" s="63">
        <f>16.2498 * CHOOSE(CONTROL!$C$22, $C$13, 100%, $E$13)</f>
        <v>16.2498</v>
      </c>
      <c r="C938" s="63">
        <f>16.2498 * CHOOSE(CONTROL!$C$22, $C$13, 100%, $E$13)</f>
        <v>16.2498</v>
      </c>
      <c r="D938" s="63">
        <f>16.2498 * CHOOSE(CONTROL!$C$22, $C$13, 100%, $E$13)</f>
        <v>16.2498</v>
      </c>
      <c r="E938" s="64">
        <f>18.3244 * CHOOSE(CONTROL!$C$22, $C$13, 100%, $E$13)</f>
        <v>18.324400000000001</v>
      </c>
      <c r="F938" s="64">
        <f>18.3244 * CHOOSE(CONTROL!$C$22, $C$13, 100%, $E$13)</f>
        <v>18.324400000000001</v>
      </c>
      <c r="G938" s="64">
        <f>18.3245 * CHOOSE(CONTROL!$C$22, $C$13, 100%, $E$13)</f>
        <v>18.3245</v>
      </c>
      <c r="H938" s="64">
        <f>31.5952* CHOOSE(CONTROL!$C$22, $C$13, 100%, $E$13)</f>
        <v>31.595199999999998</v>
      </c>
      <c r="I938" s="64">
        <f>31.5953 * CHOOSE(CONTROL!$C$22, $C$13, 100%, $E$13)</f>
        <v>31.595300000000002</v>
      </c>
      <c r="J938" s="64">
        <f>18.3244 * CHOOSE(CONTROL!$C$22, $C$13, 100%, $E$13)</f>
        <v>18.324400000000001</v>
      </c>
      <c r="K938" s="64">
        <f>18.3245 * CHOOSE(CONTROL!$C$22, $C$13, 100%, $E$13)</f>
        <v>18.3245</v>
      </c>
    </row>
    <row r="939" spans="1:11" ht="15">
      <c r="A939" s="13">
        <v>70068</v>
      </c>
      <c r="B939" s="63">
        <f>16.2529 * CHOOSE(CONTROL!$C$22, $C$13, 100%, $E$13)</f>
        <v>16.2529</v>
      </c>
      <c r="C939" s="63">
        <f>16.2529 * CHOOSE(CONTROL!$C$22, $C$13, 100%, $E$13)</f>
        <v>16.2529</v>
      </c>
      <c r="D939" s="63">
        <f>16.2529 * CHOOSE(CONTROL!$C$22, $C$13, 100%, $E$13)</f>
        <v>16.2529</v>
      </c>
      <c r="E939" s="64">
        <f>18.3951 * CHOOSE(CONTROL!$C$22, $C$13, 100%, $E$13)</f>
        <v>18.395099999999999</v>
      </c>
      <c r="F939" s="64">
        <f>18.3951 * CHOOSE(CONTROL!$C$22, $C$13, 100%, $E$13)</f>
        <v>18.395099999999999</v>
      </c>
      <c r="G939" s="64">
        <f>18.3952 * CHOOSE(CONTROL!$C$22, $C$13, 100%, $E$13)</f>
        <v>18.395199999999999</v>
      </c>
      <c r="H939" s="64">
        <f>31.661* CHOOSE(CONTROL!$C$22, $C$13, 100%, $E$13)</f>
        <v>31.661000000000001</v>
      </c>
      <c r="I939" s="64">
        <f>31.6611 * CHOOSE(CONTROL!$C$22, $C$13, 100%, $E$13)</f>
        <v>31.661100000000001</v>
      </c>
      <c r="J939" s="64">
        <f>18.3951 * CHOOSE(CONTROL!$C$22, $C$13, 100%, $E$13)</f>
        <v>18.395099999999999</v>
      </c>
      <c r="K939" s="64">
        <f>18.3952 * CHOOSE(CONTROL!$C$22, $C$13, 100%, $E$13)</f>
        <v>18.395199999999999</v>
      </c>
    </row>
    <row r="940" spans="1:11" ht="15">
      <c r="A940" s="13">
        <v>70098</v>
      </c>
      <c r="B940" s="63">
        <f>16.2529 * CHOOSE(CONTROL!$C$22, $C$13, 100%, $E$13)</f>
        <v>16.2529</v>
      </c>
      <c r="C940" s="63">
        <f>16.2529 * CHOOSE(CONTROL!$C$22, $C$13, 100%, $E$13)</f>
        <v>16.2529</v>
      </c>
      <c r="D940" s="63">
        <f>16.2529 * CHOOSE(CONTROL!$C$22, $C$13, 100%, $E$13)</f>
        <v>16.2529</v>
      </c>
      <c r="E940" s="64">
        <f>18.2236 * CHOOSE(CONTROL!$C$22, $C$13, 100%, $E$13)</f>
        <v>18.223600000000001</v>
      </c>
      <c r="F940" s="64">
        <f>18.2236 * CHOOSE(CONTROL!$C$22, $C$13, 100%, $E$13)</f>
        <v>18.223600000000001</v>
      </c>
      <c r="G940" s="64">
        <f>18.2237 * CHOOSE(CONTROL!$C$22, $C$13, 100%, $E$13)</f>
        <v>18.223700000000001</v>
      </c>
      <c r="H940" s="64">
        <f>31.727* CHOOSE(CONTROL!$C$22, $C$13, 100%, $E$13)</f>
        <v>31.727</v>
      </c>
      <c r="I940" s="64">
        <f>31.7271 * CHOOSE(CONTROL!$C$22, $C$13, 100%, $E$13)</f>
        <v>31.7271</v>
      </c>
      <c r="J940" s="64">
        <f>18.2236 * CHOOSE(CONTROL!$C$22, $C$13, 100%, $E$13)</f>
        <v>18.223600000000001</v>
      </c>
      <c r="K940" s="64">
        <f>18.2237 * CHOOSE(CONTROL!$C$22, $C$13, 100%, $E$13)</f>
        <v>18.223700000000001</v>
      </c>
    </row>
    <row r="941" spans="1:11" ht="15">
      <c r="A941" s="13">
        <v>70129</v>
      </c>
      <c r="B941" s="63">
        <f>16.1989 * CHOOSE(CONTROL!$C$22, $C$13, 100%, $E$13)</f>
        <v>16.198899999999998</v>
      </c>
      <c r="C941" s="63">
        <f>16.1989 * CHOOSE(CONTROL!$C$22, $C$13, 100%, $E$13)</f>
        <v>16.198899999999998</v>
      </c>
      <c r="D941" s="63">
        <f>16.1989 * CHOOSE(CONTROL!$C$22, $C$13, 100%, $E$13)</f>
        <v>16.198899999999998</v>
      </c>
      <c r="E941" s="64">
        <f>18.3055 * CHOOSE(CONTROL!$C$22, $C$13, 100%, $E$13)</f>
        <v>18.305499999999999</v>
      </c>
      <c r="F941" s="64">
        <f>18.3055 * CHOOSE(CONTROL!$C$22, $C$13, 100%, $E$13)</f>
        <v>18.305499999999999</v>
      </c>
      <c r="G941" s="64">
        <f>18.3056 * CHOOSE(CONTROL!$C$22, $C$13, 100%, $E$13)</f>
        <v>18.305599999999998</v>
      </c>
      <c r="H941" s="64">
        <f>31.4548* CHOOSE(CONTROL!$C$22, $C$13, 100%, $E$13)</f>
        <v>31.454799999999999</v>
      </c>
      <c r="I941" s="64">
        <f>31.4549 * CHOOSE(CONTROL!$C$22, $C$13, 100%, $E$13)</f>
        <v>31.454899999999999</v>
      </c>
      <c r="J941" s="64">
        <f>18.3055 * CHOOSE(CONTROL!$C$22, $C$13, 100%, $E$13)</f>
        <v>18.305499999999999</v>
      </c>
      <c r="K941" s="64">
        <f>18.3056 * CHOOSE(CONTROL!$C$22, $C$13, 100%, $E$13)</f>
        <v>18.305599999999998</v>
      </c>
    </row>
    <row r="942" spans="1:11" ht="15">
      <c r="A942" s="13">
        <v>70160</v>
      </c>
      <c r="B942" s="63">
        <f>16.1958 * CHOOSE(CONTROL!$C$22, $C$13, 100%, $E$13)</f>
        <v>16.195799999999998</v>
      </c>
      <c r="C942" s="63">
        <f>16.1958 * CHOOSE(CONTROL!$C$22, $C$13, 100%, $E$13)</f>
        <v>16.195799999999998</v>
      </c>
      <c r="D942" s="63">
        <f>16.1958 * CHOOSE(CONTROL!$C$22, $C$13, 100%, $E$13)</f>
        <v>16.195799999999998</v>
      </c>
      <c r="E942" s="64">
        <f>17.9743 * CHOOSE(CONTROL!$C$22, $C$13, 100%, $E$13)</f>
        <v>17.974299999999999</v>
      </c>
      <c r="F942" s="64">
        <f>17.9743 * CHOOSE(CONTROL!$C$22, $C$13, 100%, $E$13)</f>
        <v>17.974299999999999</v>
      </c>
      <c r="G942" s="64">
        <f>17.9744 * CHOOSE(CONTROL!$C$22, $C$13, 100%, $E$13)</f>
        <v>17.974399999999999</v>
      </c>
      <c r="H942" s="64">
        <f>31.5204* CHOOSE(CONTROL!$C$22, $C$13, 100%, $E$13)</f>
        <v>31.520399999999999</v>
      </c>
      <c r="I942" s="64">
        <f>31.5204 * CHOOSE(CONTROL!$C$22, $C$13, 100%, $E$13)</f>
        <v>31.520399999999999</v>
      </c>
      <c r="J942" s="64">
        <f>17.9743 * CHOOSE(CONTROL!$C$22, $C$13, 100%, $E$13)</f>
        <v>17.974299999999999</v>
      </c>
      <c r="K942" s="64">
        <f>17.9744 * CHOOSE(CONTROL!$C$22, $C$13, 100%, $E$13)</f>
        <v>17.974399999999999</v>
      </c>
    </row>
    <row r="943" spans="1:11" ht="15">
      <c r="A943" s="13">
        <v>70189</v>
      </c>
      <c r="B943" s="63">
        <f>16.1928 * CHOOSE(CONTROL!$C$22, $C$13, 100%, $E$13)</f>
        <v>16.192799999999998</v>
      </c>
      <c r="C943" s="63">
        <f>16.1928 * CHOOSE(CONTROL!$C$22, $C$13, 100%, $E$13)</f>
        <v>16.192799999999998</v>
      </c>
      <c r="D943" s="63">
        <f>16.1928 * CHOOSE(CONTROL!$C$22, $C$13, 100%, $E$13)</f>
        <v>16.192799999999998</v>
      </c>
      <c r="E943" s="64">
        <f>18.2316 * CHOOSE(CONTROL!$C$22, $C$13, 100%, $E$13)</f>
        <v>18.2316</v>
      </c>
      <c r="F943" s="64">
        <f>18.2316 * CHOOSE(CONTROL!$C$22, $C$13, 100%, $E$13)</f>
        <v>18.2316</v>
      </c>
      <c r="G943" s="64">
        <f>18.2317 * CHOOSE(CONTROL!$C$22, $C$13, 100%, $E$13)</f>
        <v>18.2317</v>
      </c>
      <c r="H943" s="64">
        <f>31.586* CHOOSE(CONTROL!$C$22, $C$13, 100%, $E$13)</f>
        <v>31.585999999999999</v>
      </c>
      <c r="I943" s="64">
        <f>31.5861 * CHOOSE(CONTROL!$C$22, $C$13, 100%, $E$13)</f>
        <v>31.586099999999998</v>
      </c>
      <c r="J943" s="64">
        <f>18.2316 * CHOOSE(CONTROL!$C$22, $C$13, 100%, $E$13)</f>
        <v>18.2316</v>
      </c>
      <c r="K943" s="64">
        <f>18.2317 * CHOOSE(CONTROL!$C$22, $C$13, 100%, $E$13)</f>
        <v>18.2317</v>
      </c>
    </row>
    <row r="944" spans="1:11" ht="15">
      <c r="A944" s="13">
        <v>70220</v>
      </c>
      <c r="B944" s="63">
        <f>16.2006 * CHOOSE(CONTROL!$C$22, $C$13, 100%, $E$13)</f>
        <v>16.200600000000001</v>
      </c>
      <c r="C944" s="63">
        <f>16.2006 * CHOOSE(CONTROL!$C$22, $C$13, 100%, $E$13)</f>
        <v>16.200600000000001</v>
      </c>
      <c r="D944" s="63">
        <f>16.2006 * CHOOSE(CONTROL!$C$22, $C$13, 100%, $E$13)</f>
        <v>16.200600000000001</v>
      </c>
      <c r="E944" s="64">
        <f>18.5059 * CHOOSE(CONTROL!$C$22, $C$13, 100%, $E$13)</f>
        <v>18.5059</v>
      </c>
      <c r="F944" s="64">
        <f>18.5059 * CHOOSE(CONTROL!$C$22, $C$13, 100%, $E$13)</f>
        <v>18.5059</v>
      </c>
      <c r="G944" s="64">
        <f>18.506 * CHOOSE(CONTROL!$C$22, $C$13, 100%, $E$13)</f>
        <v>18.506</v>
      </c>
      <c r="H944" s="64">
        <f>31.6518* CHOOSE(CONTROL!$C$22, $C$13, 100%, $E$13)</f>
        <v>31.651800000000001</v>
      </c>
      <c r="I944" s="64">
        <f>31.6519 * CHOOSE(CONTROL!$C$22, $C$13, 100%, $E$13)</f>
        <v>31.651900000000001</v>
      </c>
      <c r="J944" s="64">
        <f>18.5059 * CHOOSE(CONTROL!$C$22, $C$13, 100%, $E$13)</f>
        <v>18.5059</v>
      </c>
      <c r="K944" s="64">
        <f>18.506 * CHOOSE(CONTROL!$C$22, $C$13, 100%, $E$13)</f>
        <v>18.506</v>
      </c>
    </row>
    <row r="945" spans="1:11" ht="15">
      <c r="A945" s="13">
        <v>70250</v>
      </c>
      <c r="B945" s="63">
        <f>16.2006 * CHOOSE(CONTROL!$C$22, $C$13, 100%, $E$13)</f>
        <v>16.200600000000001</v>
      </c>
      <c r="C945" s="63">
        <f>16.2006 * CHOOSE(CONTROL!$C$22, $C$13, 100%, $E$13)</f>
        <v>16.200600000000001</v>
      </c>
      <c r="D945" s="63">
        <f>16.2087 * CHOOSE(CONTROL!$C$22, $C$13, 100%, $E$13)</f>
        <v>16.2087</v>
      </c>
      <c r="E945" s="64">
        <f>18.6104 * CHOOSE(CONTROL!$C$22, $C$13, 100%, $E$13)</f>
        <v>18.610399999999998</v>
      </c>
      <c r="F945" s="64">
        <f>18.6104 * CHOOSE(CONTROL!$C$22, $C$13, 100%, $E$13)</f>
        <v>18.610399999999998</v>
      </c>
      <c r="G945" s="64">
        <f>18.6202 * CHOOSE(CONTROL!$C$22, $C$13, 100%, $E$13)</f>
        <v>18.620200000000001</v>
      </c>
      <c r="H945" s="64">
        <f>31.7178* CHOOSE(CONTROL!$C$22, $C$13, 100%, $E$13)</f>
        <v>31.7178</v>
      </c>
      <c r="I945" s="64">
        <f>31.7276 * CHOOSE(CONTROL!$C$22, $C$13, 100%, $E$13)</f>
        <v>31.727599999999999</v>
      </c>
      <c r="J945" s="64">
        <f>18.6104 * CHOOSE(CONTROL!$C$22, $C$13, 100%, $E$13)</f>
        <v>18.610399999999998</v>
      </c>
      <c r="K945" s="64">
        <f>18.6202 * CHOOSE(CONTROL!$C$22, $C$13, 100%, $E$13)</f>
        <v>18.620200000000001</v>
      </c>
    </row>
    <row r="946" spans="1:11" ht="15">
      <c r="A946" s="13">
        <v>70281</v>
      </c>
      <c r="B946" s="63">
        <f>16.2067 * CHOOSE(CONTROL!$C$22, $C$13, 100%, $E$13)</f>
        <v>16.206700000000001</v>
      </c>
      <c r="C946" s="63">
        <f>16.2067 * CHOOSE(CONTROL!$C$22, $C$13, 100%, $E$13)</f>
        <v>16.206700000000001</v>
      </c>
      <c r="D946" s="63">
        <f>16.2148 * CHOOSE(CONTROL!$C$22, $C$13, 100%, $E$13)</f>
        <v>16.2148</v>
      </c>
      <c r="E946" s="64">
        <f>18.5102 * CHOOSE(CONTROL!$C$22, $C$13, 100%, $E$13)</f>
        <v>18.510200000000001</v>
      </c>
      <c r="F946" s="64">
        <f>18.5102 * CHOOSE(CONTROL!$C$22, $C$13, 100%, $E$13)</f>
        <v>18.510200000000001</v>
      </c>
      <c r="G946" s="64">
        <f>18.52 * CHOOSE(CONTROL!$C$22, $C$13, 100%, $E$13)</f>
        <v>18.52</v>
      </c>
      <c r="H946" s="64">
        <f>31.7838* CHOOSE(CONTROL!$C$22, $C$13, 100%, $E$13)</f>
        <v>31.783799999999999</v>
      </c>
      <c r="I946" s="64">
        <f>31.7937 * CHOOSE(CONTROL!$C$22, $C$13, 100%, $E$13)</f>
        <v>31.793700000000001</v>
      </c>
      <c r="J946" s="64">
        <f>18.5102 * CHOOSE(CONTROL!$C$22, $C$13, 100%, $E$13)</f>
        <v>18.510200000000001</v>
      </c>
      <c r="K946" s="64">
        <f>18.52 * CHOOSE(CONTROL!$C$22, $C$13, 100%, $E$13)</f>
        <v>18.52</v>
      </c>
    </row>
    <row r="947" spans="1:11" ht="15">
      <c r="A947" s="13">
        <v>70311</v>
      </c>
      <c r="B947" s="63">
        <f>16.451 * CHOOSE(CONTROL!$C$22, $C$13, 100%, $E$13)</f>
        <v>16.451000000000001</v>
      </c>
      <c r="C947" s="63">
        <f>16.451 * CHOOSE(CONTROL!$C$22, $C$13, 100%, $E$13)</f>
        <v>16.451000000000001</v>
      </c>
      <c r="D947" s="63">
        <f>16.4591 * CHOOSE(CONTROL!$C$22, $C$13, 100%, $E$13)</f>
        <v>16.459099999999999</v>
      </c>
      <c r="E947" s="64">
        <f>18.8029 * CHOOSE(CONTROL!$C$22, $C$13, 100%, $E$13)</f>
        <v>18.802900000000001</v>
      </c>
      <c r="F947" s="64">
        <f>18.8029 * CHOOSE(CONTROL!$C$22, $C$13, 100%, $E$13)</f>
        <v>18.802900000000001</v>
      </c>
      <c r="G947" s="64">
        <f>18.8127 * CHOOSE(CONTROL!$C$22, $C$13, 100%, $E$13)</f>
        <v>18.8127</v>
      </c>
      <c r="H947" s="64">
        <f>31.8501* CHOOSE(CONTROL!$C$22, $C$13, 100%, $E$13)</f>
        <v>31.850100000000001</v>
      </c>
      <c r="I947" s="64">
        <f>31.8599 * CHOOSE(CONTROL!$C$22, $C$13, 100%, $E$13)</f>
        <v>31.8599</v>
      </c>
      <c r="J947" s="64">
        <f>18.8029 * CHOOSE(CONTROL!$C$22, $C$13, 100%, $E$13)</f>
        <v>18.802900000000001</v>
      </c>
      <c r="K947" s="64">
        <f>18.8127 * CHOOSE(CONTROL!$C$22, $C$13, 100%, $E$13)</f>
        <v>18.8127</v>
      </c>
    </row>
    <row r="948" spans="1:11" ht="15">
      <c r="A948" s="13">
        <v>70342</v>
      </c>
      <c r="B948" s="63">
        <f>16.4577 * CHOOSE(CONTROL!$C$22, $C$13, 100%, $E$13)</f>
        <v>16.457699999999999</v>
      </c>
      <c r="C948" s="63">
        <f>16.4577 * CHOOSE(CONTROL!$C$22, $C$13, 100%, $E$13)</f>
        <v>16.457699999999999</v>
      </c>
      <c r="D948" s="63">
        <f>16.4658 * CHOOSE(CONTROL!$C$22, $C$13, 100%, $E$13)</f>
        <v>16.465800000000002</v>
      </c>
      <c r="E948" s="64">
        <f>18.4941 * CHOOSE(CONTROL!$C$22, $C$13, 100%, $E$13)</f>
        <v>18.4941</v>
      </c>
      <c r="F948" s="64">
        <f>18.4941 * CHOOSE(CONTROL!$C$22, $C$13, 100%, $E$13)</f>
        <v>18.4941</v>
      </c>
      <c r="G948" s="64">
        <f>18.5039 * CHOOSE(CONTROL!$C$22, $C$13, 100%, $E$13)</f>
        <v>18.503900000000002</v>
      </c>
      <c r="H948" s="64">
        <f>31.9164* CHOOSE(CONTROL!$C$22, $C$13, 100%, $E$13)</f>
        <v>31.916399999999999</v>
      </c>
      <c r="I948" s="64">
        <f>31.9262 * CHOOSE(CONTROL!$C$22, $C$13, 100%, $E$13)</f>
        <v>31.926200000000001</v>
      </c>
      <c r="J948" s="64">
        <f>18.4941 * CHOOSE(CONTROL!$C$22, $C$13, 100%, $E$13)</f>
        <v>18.4941</v>
      </c>
      <c r="K948" s="64">
        <f>18.5039 * CHOOSE(CONTROL!$C$22, $C$13, 100%, $E$13)</f>
        <v>18.503900000000002</v>
      </c>
    </row>
    <row r="949" spans="1:11" ht="15">
      <c r="A949" s="13">
        <v>70373</v>
      </c>
      <c r="B949" s="63">
        <f>16.4547 * CHOOSE(CONTROL!$C$22, $C$13, 100%, $E$13)</f>
        <v>16.454699999999999</v>
      </c>
      <c r="C949" s="63">
        <f>16.4547 * CHOOSE(CONTROL!$C$22, $C$13, 100%, $E$13)</f>
        <v>16.454699999999999</v>
      </c>
      <c r="D949" s="63">
        <f>16.4628 * CHOOSE(CONTROL!$C$22, $C$13, 100%, $E$13)</f>
        <v>16.462800000000001</v>
      </c>
      <c r="E949" s="64">
        <f>18.4572 * CHOOSE(CONTROL!$C$22, $C$13, 100%, $E$13)</f>
        <v>18.4572</v>
      </c>
      <c r="F949" s="64">
        <f>18.4572 * CHOOSE(CONTROL!$C$22, $C$13, 100%, $E$13)</f>
        <v>18.4572</v>
      </c>
      <c r="G949" s="64">
        <f>18.467 * CHOOSE(CONTROL!$C$22, $C$13, 100%, $E$13)</f>
        <v>18.466999999999999</v>
      </c>
      <c r="H949" s="64">
        <f>31.9829* CHOOSE(CONTROL!$C$22, $C$13, 100%, $E$13)</f>
        <v>31.982900000000001</v>
      </c>
      <c r="I949" s="64">
        <f>31.9927 * CHOOSE(CONTROL!$C$22, $C$13, 100%, $E$13)</f>
        <v>31.992699999999999</v>
      </c>
      <c r="J949" s="64">
        <f>18.4572 * CHOOSE(CONTROL!$C$22, $C$13, 100%, $E$13)</f>
        <v>18.4572</v>
      </c>
      <c r="K949" s="64">
        <f>18.467 * CHOOSE(CONTROL!$C$22, $C$13, 100%, $E$13)</f>
        <v>18.466999999999999</v>
      </c>
    </row>
    <row r="950" spans="1:11" ht="15">
      <c r="A950" s="13">
        <v>70403</v>
      </c>
      <c r="B950" s="63">
        <f>16.4898 * CHOOSE(CONTROL!$C$22, $C$13, 100%, $E$13)</f>
        <v>16.489799999999999</v>
      </c>
      <c r="C950" s="63">
        <f>16.4898 * CHOOSE(CONTROL!$C$22, $C$13, 100%, $E$13)</f>
        <v>16.489799999999999</v>
      </c>
      <c r="D950" s="63">
        <f>16.4898 * CHOOSE(CONTROL!$C$22, $C$13, 100%, $E$13)</f>
        <v>16.489799999999999</v>
      </c>
      <c r="E950" s="64">
        <f>18.583 * CHOOSE(CONTROL!$C$22, $C$13, 100%, $E$13)</f>
        <v>18.582999999999998</v>
      </c>
      <c r="F950" s="64">
        <f>18.583 * CHOOSE(CONTROL!$C$22, $C$13, 100%, $E$13)</f>
        <v>18.582999999999998</v>
      </c>
      <c r="G950" s="64">
        <f>18.5831 * CHOOSE(CONTROL!$C$22, $C$13, 100%, $E$13)</f>
        <v>18.583100000000002</v>
      </c>
      <c r="H950" s="64">
        <f>32.0495* CHOOSE(CONTROL!$C$22, $C$13, 100%, $E$13)</f>
        <v>32.049500000000002</v>
      </c>
      <c r="I950" s="64">
        <f>32.0496 * CHOOSE(CONTROL!$C$22, $C$13, 100%, $E$13)</f>
        <v>32.049599999999998</v>
      </c>
      <c r="J950" s="64">
        <f>18.583 * CHOOSE(CONTROL!$C$22, $C$13, 100%, $E$13)</f>
        <v>18.582999999999998</v>
      </c>
      <c r="K950" s="64">
        <f>18.5831 * CHOOSE(CONTROL!$C$22, $C$13, 100%, $E$13)</f>
        <v>18.583100000000002</v>
      </c>
    </row>
    <row r="951" spans="1:11" ht="15">
      <c r="A951" s="13">
        <v>70434</v>
      </c>
      <c r="B951" s="63">
        <f>16.4928 * CHOOSE(CONTROL!$C$22, $C$13, 100%, $E$13)</f>
        <v>16.492799999999999</v>
      </c>
      <c r="C951" s="63">
        <f>16.4928 * CHOOSE(CONTROL!$C$22, $C$13, 100%, $E$13)</f>
        <v>16.492799999999999</v>
      </c>
      <c r="D951" s="63">
        <f>16.4928 * CHOOSE(CONTROL!$C$22, $C$13, 100%, $E$13)</f>
        <v>16.492799999999999</v>
      </c>
      <c r="E951" s="64">
        <f>18.6548 * CHOOSE(CONTROL!$C$22, $C$13, 100%, $E$13)</f>
        <v>18.654800000000002</v>
      </c>
      <c r="F951" s="64">
        <f>18.6548 * CHOOSE(CONTROL!$C$22, $C$13, 100%, $E$13)</f>
        <v>18.654800000000002</v>
      </c>
      <c r="G951" s="64">
        <f>18.6549 * CHOOSE(CONTROL!$C$22, $C$13, 100%, $E$13)</f>
        <v>18.654900000000001</v>
      </c>
      <c r="H951" s="64">
        <f>32.1163* CHOOSE(CONTROL!$C$22, $C$13, 100%, $E$13)</f>
        <v>32.116300000000003</v>
      </c>
      <c r="I951" s="64">
        <f>32.1164 * CHOOSE(CONTROL!$C$22, $C$13, 100%, $E$13)</f>
        <v>32.116399999999999</v>
      </c>
      <c r="J951" s="64">
        <f>18.6548 * CHOOSE(CONTROL!$C$22, $C$13, 100%, $E$13)</f>
        <v>18.654800000000002</v>
      </c>
      <c r="K951" s="64">
        <f>18.6549 * CHOOSE(CONTROL!$C$22, $C$13, 100%, $E$13)</f>
        <v>18.654900000000001</v>
      </c>
    </row>
    <row r="952" spans="1:11" ht="15">
      <c r="A952" s="13">
        <v>70464</v>
      </c>
      <c r="B952" s="63">
        <f>16.4928 * CHOOSE(CONTROL!$C$22, $C$13, 100%, $E$13)</f>
        <v>16.492799999999999</v>
      </c>
      <c r="C952" s="63">
        <f>16.4928 * CHOOSE(CONTROL!$C$22, $C$13, 100%, $E$13)</f>
        <v>16.492799999999999</v>
      </c>
      <c r="D952" s="63">
        <f>16.4928 * CHOOSE(CONTROL!$C$22, $C$13, 100%, $E$13)</f>
        <v>16.492799999999999</v>
      </c>
      <c r="E952" s="64">
        <f>18.4807 * CHOOSE(CONTROL!$C$22, $C$13, 100%, $E$13)</f>
        <v>18.480699999999999</v>
      </c>
      <c r="F952" s="64">
        <f>18.4807 * CHOOSE(CONTROL!$C$22, $C$13, 100%, $E$13)</f>
        <v>18.480699999999999</v>
      </c>
      <c r="G952" s="64">
        <f>18.4808 * CHOOSE(CONTROL!$C$22, $C$13, 100%, $E$13)</f>
        <v>18.480799999999999</v>
      </c>
      <c r="H952" s="64">
        <f>32.1832* CHOOSE(CONTROL!$C$22, $C$13, 100%, $E$13)</f>
        <v>32.183199999999999</v>
      </c>
      <c r="I952" s="64">
        <f>32.1833 * CHOOSE(CONTROL!$C$22, $C$13, 100%, $E$13)</f>
        <v>32.183300000000003</v>
      </c>
      <c r="J952" s="64">
        <f>18.4807 * CHOOSE(CONTROL!$C$22, $C$13, 100%, $E$13)</f>
        <v>18.480699999999999</v>
      </c>
      <c r="K952" s="64">
        <f>18.4808 * CHOOSE(CONTROL!$C$22, $C$13, 100%, $E$13)</f>
        <v>18.480799999999999</v>
      </c>
    </row>
    <row r="953" spans="1:11" ht="15">
      <c r="A953" s="13">
        <v>70495</v>
      </c>
      <c r="B953" s="63">
        <f>16.4344 * CHOOSE(CONTROL!$C$22, $C$13, 100%, $E$13)</f>
        <v>16.4344</v>
      </c>
      <c r="C953" s="63">
        <f>16.4344 * CHOOSE(CONTROL!$C$22, $C$13, 100%, $E$13)</f>
        <v>16.4344</v>
      </c>
      <c r="D953" s="63">
        <f>16.4344 * CHOOSE(CONTROL!$C$22, $C$13, 100%, $E$13)</f>
        <v>16.4344</v>
      </c>
      <c r="E953" s="64">
        <f>18.5602 * CHOOSE(CONTROL!$C$22, $C$13, 100%, $E$13)</f>
        <v>18.560199999999998</v>
      </c>
      <c r="F953" s="64">
        <f>18.5602 * CHOOSE(CONTROL!$C$22, $C$13, 100%, $E$13)</f>
        <v>18.560199999999998</v>
      </c>
      <c r="G953" s="64">
        <f>18.5603 * CHOOSE(CONTROL!$C$22, $C$13, 100%, $E$13)</f>
        <v>18.560300000000002</v>
      </c>
      <c r="H953" s="64">
        <f>31.9007* CHOOSE(CONTROL!$C$22, $C$13, 100%, $E$13)</f>
        <v>31.900700000000001</v>
      </c>
      <c r="I953" s="64">
        <f>31.9008 * CHOOSE(CONTROL!$C$22, $C$13, 100%, $E$13)</f>
        <v>31.9008</v>
      </c>
      <c r="J953" s="64">
        <f>18.5602 * CHOOSE(CONTROL!$C$22, $C$13, 100%, $E$13)</f>
        <v>18.560199999999998</v>
      </c>
      <c r="K953" s="64">
        <f>18.5603 * CHOOSE(CONTROL!$C$22, $C$13, 100%, $E$13)</f>
        <v>18.560300000000002</v>
      </c>
    </row>
    <row r="954" spans="1:11" ht="15">
      <c r="A954" s="13">
        <v>70526</v>
      </c>
      <c r="B954" s="63">
        <f>16.4314 * CHOOSE(CONTROL!$C$22, $C$13, 100%, $E$13)</f>
        <v>16.4314</v>
      </c>
      <c r="C954" s="63">
        <f>16.4314 * CHOOSE(CONTROL!$C$22, $C$13, 100%, $E$13)</f>
        <v>16.4314</v>
      </c>
      <c r="D954" s="63">
        <f>16.4314 * CHOOSE(CONTROL!$C$22, $C$13, 100%, $E$13)</f>
        <v>16.4314</v>
      </c>
      <c r="E954" s="64">
        <f>18.2241 * CHOOSE(CONTROL!$C$22, $C$13, 100%, $E$13)</f>
        <v>18.2241</v>
      </c>
      <c r="F954" s="64">
        <f>18.2241 * CHOOSE(CONTROL!$C$22, $C$13, 100%, $E$13)</f>
        <v>18.2241</v>
      </c>
      <c r="G954" s="64">
        <f>18.2242 * CHOOSE(CONTROL!$C$22, $C$13, 100%, $E$13)</f>
        <v>18.2242</v>
      </c>
      <c r="H954" s="64">
        <f>31.9672* CHOOSE(CONTROL!$C$22, $C$13, 100%, $E$13)</f>
        <v>31.967199999999998</v>
      </c>
      <c r="I954" s="64">
        <f>31.9673 * CHOOSE(CONTROL!$C$22, $C$13, 100%, $E$13)</f>
        <v>31.967300000000002</v>
      </c>
      <c r="J954" s="64">
        <f>18.2241 * CHOOSE(CONTROL!$C$22, $C$13, 100%, $E$13)</f>
        <v>18.2241</v>
      </c>
      <c r="K954" s="64">
        <f>18.2242 * CHOOSE(CONTROL!$C$22, $C$13, 100%, $E$13)</f>
        <v>18.2242</v>
      </c>
    </row>
    <row r="955" spans="1:11" ht="15">
      <c r="A955" s="13">
        <v>70554</v>
      </c>
      <c r="B955" s="63">
        <f>16.4284 * CHOOSE(CONTROL!$C$22, $C$13, 100%, $E$13)</f>
        <v>16.4284</v>
      </c>
      <c r="C955" s="63">
        <f>16.4284 * CHOOSE(CONTROL!$C$22, $C$13, 100%, $E$13)</f>
        <v>16.4284</v>
      </c>
      <c r="D955" s="63">
        <f>16.4284 * CHOOSE(CONTROL!$C$22, $C$13, 100%, $E$13)</f>
        <v>16.4284</v>
      </c>
      <c r="E955" s="64">
        <f>18.4853 * CHOOSE(CONTROL!$C$22, $C$13, 100%, $E$13)</f>
        <v>18.485299999999999</v>
      </c>
      <c r="F955" s="64">
        <f>18.4853 * CHOOSE(CONTROL!$C$22, $C$13, 100%, $E$13)</f>
        <v>18.485299999999999</v>
      </c>
      <c r="G955" s="64">
        <f>18.4854 * CHOOSE(CONTROL!$C$22, $C$13, 100%, $E$13)</f>
        <v>18.485399999999998</v>
      </c>
      <c r="H955" s="64">
        <f>32.0338* CHOOSE(CONTROL!$C$22, $C$13, 100%, $E$13)</f>
        <v>32.033799999999999</v>
      </c>
      <c r="I955" s="64">
        <f>32.0339 * CHOOSE(CONTROL!$C$22, $C$13, 100%, $E$13)</f>
        <v>32.033900000000003</v>
      </c>
      <c r="J955" s="64">
        <f>18.4853 * CHOOSE(CONTROL!$C$22, $C$13, 100%, $E$13)</f>
        <v>18.485299999999999</v>
      </c>
      <c r="K955" s="64">
        <f>18.4854 * CHOOSE(CONTROL!$C$22, $C$13, 100%, $E$13)</f>
        <v>18.485399999999998</v>
      </c>
    </row>
    <row r="956" spans="1:11" ht="15">
      <c r="A956" s="13">
        <v>70585</v>
      </c>
      <c r="B956" s="63">
        <f>16.4364 * CHOOSE(CONTROL!$C$22, $C$13, 100%, $E$13)</f>
        <v>16.436399999999999</v>
      </c>
      <c r="C956" s="63">
        <f>16.4364 * CHOOSE(CONTROL!$C$22, $C$13, 100%, $E$13)</f>
        <v>16.436399999999999</v>
      </c>
      <c r="D956" s="63">
        <f>16.4364 * CHOOSE(CONTROL!$C$22, $C$13, 100%, $E$13)</f>
        <v>16.436399999999999</v>
      </c>
      <c r="E956" s="64">
        <f>18.7638 * CHOOSE(CONTROL!$C$22, $C$13, 100%, $E$13)</f>
        <v>18.7638</v>
      </c>
      <c r="F956" s="64">
        <f>18.7638 * CHOOSE(CONTROL!$C$22, $C$13, 100%, $E$13)</f>
        <v>18.7638</v>
      </c>
      <c r="G956" s="64">
        <f>18.7639 * CHOOSE(CONTROL!$C$22, $C$13, 100%, $E$13)</f>
        <v>18.7639</v>
      </c>
      <c r="H956" s="64">
        <f>32.1005* CHOOSE(CONTROL!$C$22, $C$13, 100%, $E$13)</f>
        <v>32.100499999999997</v>
      </c>
      <c r="I956" s="64">
        <f>32.1006 * CHOOSE(CONTROL!$C$22, $C$13, 100%, $E$13)</f>
        <v>32.1006</v>
      </c>
      <c r="J956" s="64">
        <f>18.7638 * CHOOSE(CONTROL!$C$22, $C$13, 100%, $E$13)</f>
        <v>18.7638</v>
      </c>
      <c r="K956" s="64">
        <f>18.7639 * CHOOSE(CONTROL!$C$22, $C$13, 100%, $E$13)</f>
        <v>18.7639</v>
      </c>
    </row>
    <row r="957" spans="1:11" ht="15">
      <c r="A957" s="13">
        <v>70615</v>
      </c>
      <c r="B957" s="63">
        <f>16.4364 * CHOOSE(CONTROL!$C$22, $C$13, 100%, $E$13)</f>
        <v>16.436399999999999</v>
      </c>
      <c r="C957" s="63">
        <f>16.4364 * CHOOSE(CONTROL!$C$22, $C$13, 100%, $E$13)</f>
        <v>16.436399999999999</v>
      </c>
      <c r="D957" s="63">
        <f>16.4445 * CHOOSE(CONTROL!$C$22, $C$13, 100%, $E$13)</f>
        <v>16.444500000000001</v>
      </c>
      <c r="E957" s="64">
        <f>18.8698 * CHOOSE(CONTROL!$C$22, $C$13, 100%, $E$13)</f>
        <v>18.869800000000001</v>
      </c>
      <c r="F957" s="64">
        <f>18.8698 * CHOOSE(CONTROL!$C$22, $C$13, 100%, $E$13)</f>
        <v>18.869800000000001</v>
      </c>
      <c r="G957" s="64">
        <f>18.8797 * CHOOSE(CONTROL!$C$22, $C$13, 100%, $E$13)</f>
        <v>18.8797</v>
      </c>
      <c r="H957" s="64">
        <f>32.1674* CHOOSE(CONTROL!$C$22, $C$13, 100%, $E$13)</f>
        <v>32.167400000000001</v>
      </c>
      <c r="I957" s="64">
        <f>32.1772 * CHOOSE(CONTROL!$C$22, $C$13, 100%, $E$13)</f>
        <v>32.177199999999999</v>
      </c>
      <c r="J957" s="64">
        <f>18.8698 * CHOOSE(CONTROL!$C$22, $C$13, 100%, $E$13)</f>
        <v>18.869800000000001</v>
      </c>
      <c r="K957" s="64">
        <f>18.8797 * CHOOSE(CONTROL!$C$22, $C$13, 100%, $E$13)</f>
        <v>18.8797</v>
      </c>
    </row>
    <row r="958" spans="1:11" ht="15">
      <c r="A958" s="13">
        <v>70646</v>
      </c>
      <c r="B958" s="63">
        <f>16.4425 * CHOOSE(CONTROL!$C$22, $C$13, 100%, $E$13)</f>
        <v>16.442499999999999</v>
      </c>
      <c r="C958" s="63">
        <f>16.4425 * CHOOSE(CONTROL!$C$22, $C$13, 100%, $E$13)</f>
        <v>16.442499999999999</v>
      </c>
      <c r="D958" s="63">
        <f>16.4506 * CHOOSE(CONTROL!$C$22, $C$13, 100%, $E$13)</f>
        <v>16.450600000000001</v>
      </c>
      <c r="E958" s="64">
        <f>18.768 * CHOOSE(CONTROL!$C$22, $C$13, 100%, $E$13)</f>
        <v>18.768000000000001</v>
      </c>
      <c r="F958" s="64">
        <f>18.768 * CHOOSE(CONTROL!$C$22, $C$13, 100%, $E$13)</f>
        <v>18.768000000000001</v>
      </c>
      <c r="G958" s="64">
        <f>18.7779 * CHOOSE(CONTROL!$C$22, $C$13, 100%, $E$13)</f>
        <v>18.777899999999999</v>
      </c>
      <c r="H958" s="64">
        <f>32.2344* CHOOSE(CONTROL!$C$22, $C$13, 100%, $E$13)</f>
        <v>32.234400000000001</v>
      </c>
      <c r="I958" s="64">
        <f>32.2442 * CHOOSE(CONTROL!$C$22, $C$13, 100%, $E$13)</f>
        <v>32.244199999999999</v>
      </c>
      <c r="J958" s="64">
        <f>18.768 * CHOOSE(CONTROL!$C$22, $C$13, 100%, $E$13)</f>
        <v>18.768000000000001</v>
      </c>
      <c r="K958" s="64">
        <f>18.7779 * CHOOSE(CONTROL!$C$22, $C$13, 100%, $E$13)</f>
        <v>18.777899999999999</v>
      </c>
    </row>
    <row r="959" spans="1:11" ht="15">
      <c r="A959" s="13">
        <v>70676</v>
      </c>
      <c r="B959" s="63">
        <f>16.6902 * CHOOSE(CONTROL!$C$22, $C$13, 100%, $E$13)</f>
        <v>16.690200000000001</v>
      </c>
      <c r="C959" s="63">
        <f>16.6902 * CHOOSE(CONTROL!$C$22, $C$13, 100%, $E$13)</f>
        <v>16.690200000000001</v>
      </c>
      <c r="D959" s="63">
        <f>16.6983 * CHOOSE(CONTROL!$C$22, $C$13, 100%, $E$13)</f>
        <v>16.6983</v>
      </c>
      <c r="E959" s="64">
        <f>19.0646 * CHOOSE(CONTROL!$C$22, $C$13, 100%, $E$13)</f>
        <v>19.064599999999999</v>
      </c>
      <c r="F959" s="64">
        <f>19.0646 * CHOOSE(CONTROL!$C$22, $C$13, 100%, $E$13)</f>
        <v>19.064599999999999</v>
      </c>
      <c r="G959" s="64">
        <f>19.0745 * CHOOSE(CONTROL!$C$22, $C$13, 100%, $E$13)</f>
        <v>19.0745</v>
      </c>
      <c r="H959" s="64">
        <f>32.3016* CHOOSE(CONTROL!$C$22, $C$13, 100%, $E$13)</f>
        <v>32.301600000000001</v>
      </c>
      <c r="I959" s="64">
        <f>32.3114 * CHOOSE(CONTROL!$C$22, $C$13, 100%, $E$13)</f>
        <v>32.311399999999999</v>
      </c>
      <c r="J959" s="64">
        <f>19.0646 * CHOOSE(CONTROL!$C$22, $C$13, 100%, $E$13)</f>
        <v>19.064599999999999</v>
      </c>
      <c r="K959" s="64">
        <f>19.0745 * CHOOSE(CONTROL!$C$22, $C$13, 100%, $E$13)</f>
        <v>19.0745</v>
      </c>
    </row>
    <row r="960" spans="1:11" ht="15">
      <c r="A960" s="13">
        <v>70707</v>
      </c>
      <c r="B960" s="63">
        <f>16.6969 * CHOOSE(CONTROL!$C$22, $C$13, 100%, $E$13)</f>
        <v>16.696899999999999</v>
      </c>
      <c r="C960" s="63">
        <f>16.6969 * CHOOSE(CONTROL!$C$22, $C$13, 100%, $E$13)</f>
        <v>16.696899999999999</v>
      </c>
      <c r="D960" s="63">
        <f>16.705 * CHOOSE(CONTROL!$C$22, $C$13, 100%, $E$13)</f>
        <v>16.704999999999998</v>
      </c>
      <c r="E960" s="64">
        <f>18.7512 * CHOOSE(CONTROL!$C$22, $C$13, 100%, $E$13)</f>
        <v>18.751200000000001</v>
      </c>
      <c r="F960" s="64">
        <f>18.7512 * CHOOSE(CONTROL!$C$22, $C$13, 100%, $E$13)</f>
        <v>18.751200000000001</v>
      </c>
      <c r="G960" s="64">
        <f>18.761 * CHOOSE(CONTROL!$C$22, $C$13, 100%, $E$13)</f>
        <v>18.760999999999999</v>
      </c>
      <c r="H960" s="64">
        <f>32.3689* CHOOSE(CONTROL!$C$22, $C$13, 100%, $E$13)</f>
        <v>32.368899999999996</v>
      </c>
      <c r="I960" s="64">
        <f>32.3787 * CHOOSE(CONTROL!$C$22, $C$13, 100%, $E$13)</f>
        <v>32.378700000000002</v>
      </c>
      <c r="J960" s="64">
        <f>18.7512 * CHOOSE(CONTROL!$C$22, $C$13, 100%, $E$13)</f>
        <v>18.751200000000001</v>
      </c>
      <c r="K960" s="64">
        <f>18.761 * CHOOSE(CONTROL!$C$22, $C$13, 100%, $E$13)</f>
        <v>18.760999999999999</v>
      </c>
    </row>
    <row r="961" spans="1:11" ht="15">
      <c r="A961" s="13">
        <v>70738</v>
      </c>
      <c r="B961" s="63">
        <f>16.6939 * CHOOSE(CONTROL!$C$22, $C$13, 100%, $E$13)</f>
        <v>16.693899999999999</v>
      </c>
      <c r="C961" s="63">
        <f>16.6939 * CHOOSE(CONTROL!$C$22, $C$13, 100%, $E$13)</f>
        <v>16.693899999999999</v>
      </c>
      <c r="D961" s="63">
        <f>16.702 * CHOOSE(CONTROL!$C$22, $C$13, 100%, $E$13)</f>
        <v>16.702000000000002</v>
      </c>
      <c r="E961" s="64">
        <f>18.7137 * CHOOSE(CONTROL!$C$22, $C$13, 100%, $E$13)</f>
        <v>18.713699999999999</v>
      </c>
      <c r="F961" s="64">
        <f>18.7137 * CHOOSE(CONTROL!$C$22, $C$13, 100%, $E$13)</f>
        <v>18.713699999999999</v>
      </c>
      <c r="G961" s="64">
        <f>18.7235 * CHOOSE(CONTROL!$C$22, $C$13, 100%, $E$13)</f>
        <v>18.723500000000001</v>
      </c>
      <c r="H961" s="64">
        <f>32.4363* CHOOSE(CONTROL!$C$22, $C$13, 100%, $E$13)</f>
        <v>32.436300000000003</v>
      </c>
      <c r="I961" s="64">
        <f>32.4461 * CHOOSE(CONTROL!$C$22, $C$13, 100%, $E$13)</f>
        <v>32.446100000000001</v>
      </c>
      <c r="J961" s="64">
        <f>18.7137 * CHOOSE(CONTROL!$C$22, $C$13, 100%, $E$13)</f>
        <v>18.713699999999999</v>
      </c>
      <c r="K961" s="64">
        <f>18.7235 * CHOOSE(CONTROL!$C$22, $C$13, 100%, $E$13)</f>
        <v>18.723500000000001</v>
      </c>
    </row>
    <row r="962" spans="1:11" ht="15">
      <c r="A962" s="13">
        <v>70768</v>
      </c>
      <c r="B962" s="63">
        <f>16.7297 * CHOOSE(CONTROL!$C$22, $C$13, 100%, $E$13)</f>
        <v>16.729700000000001</v>
      </c>
      <c r="C962" s="63">
        <f>16.7297 * CHOOSE(CONTROL!$C$22, $C$13, 100%, $E$13)</f>
        <v>16.729700000000001</v>
      </c>
      <c r="D962" s="63">
        <f>16.7297 * CHOOSE(CONTROL!$C$22, $C$13, 100%, $E$13)</f>
        <v>16.729700000000001</v>
      </c>
      <c r="E962" s="64">
        <f>18.8417 * CHOOSE(CONTROL!$C$22, $C$13, 100%, $E$13)</f>
        <v>18.841699999999999</v>
      </c>
      <c r="F962" s="64">
        <f>18.8417 * CHOOSE(CONTROL!$C$22, $C$13, 100%, $E$13)</f>
        <v>18.841699999999999</v>
      </c>
      <c r="G962" s="64">
        <f>18.8418 * CHOOSE(CONTROL!$C$22, $C$13, 100%, $E$13)</f>
        <v>18.841799999999999</v>
      </c>
      <c r="H962" s="64">
        <f>32.5039* CHOOSE(CONTROL!$C$22, $C$13, 100%, $E$13)</f>
        <v>32.503900000000002</v>
      </c>
      <c r="I962" s="64">
        <f>32.5039 * CHOOSE(CONTROL!$C$22, $C$13, 100%, $E$13)</f>
        <v>32.503900000000002</v>
      </c>
      <c r="J962" s="64">
        <f>18.8417 * CHOOSE(CONTROL!$C$22, $C$13, 100%, $E$13)</f>
        <v>18.841699999999999</v>
      </c>
      <c r="K962" s="64">
        <f>18.8418 * CHOOSE(CONTROL!$C$22, $C$13, 100%, $E$13)</f>
        <v>18.841799999999999</v>
      </c>
    </row>
    <row r="963" spans="1:11" ht="15">
      <c r="A963" s="13">
        <v>70799</v>
      </c>
      <c r="B963" s="63">
        <f>16.7327 * CHOOSE(CONTROL!$C$22, $C$13, 100%, $E$13)</f>
        <v>16.732700000000001</v>
      </c>
      <c r="C963" s="63">
        <f>16.7327 * CHOOSE(CONTROL!$C$22, $C$13, 100%, $E$13)</f>
        <v>16.732700000000001</v>
      </c>
      <c r="D963" s="63">
        <f>16.7327 * CHOOSE(CONTROL!$C$22, $C$13, 100%, $E$13)</f>
        <v>16.732700000000001</v>
      </c>
      <c r="E963" s="64">
        <f>18.9145 * CHOOSE(CONTROL!$C$22, $C$13, 100%, $E$13)</f>
        <v>18.9145</v>
      </c>
      <c r="F963" s="64">
        <f>18.9145 * CHOOSE(CONTROL!$C$22, $C$13, 100%, $E$13)</f>
        <v>18.9145</v>
      </c>
      <c r="G963" s="64">
        <f>18.9146 * CHOOSE(CONTROL!$C$22, $C$13, 100%, $E$13)</f>
        <v>18.9146</v>
      </c>
      <c r="H963" s="64">
        <f>32.5716* CHOOSE(CONTROL!$C$22, $C$13, 100%, $E$13)</f>
        <v>32.571599999999997</v>
      </c>
      <c r="I963" s="64">
        <f>32.5717 * CHOOSE(CONTROL!$C$22, $C$13, 100%, $E$13)</f>
        <v>32.5717</v>
      </c>
      <c r="J963" s="64">
        <f>18.9145 * CHOOSE(CONTROL!$C$22, $C$13, 100%, $E$13)</f>
        <v>18.9145</v>
      </c>
      <c r="K963" s="64">
        <f>18.9146 * CHOOSE(CONTROL!$C$22, $C$13, 100%, $E$13)</f>
        <v>18.9146</v>
      </c>
    </row>
    <row r="964" spans="1:11" ht="15">
      <c r="A964" s="13">
        <v>70829</v>
      </c>
      <c r="B964" s="63">
        <f>16.7327 * CHOOSE(CONTROL!$C$22, $C$13, 100%, $E$13)</f>
        <v>16.732700000000001</v>
      </c>
      <c r="C964" s="63">
        <f>16.7327 * CHOOSE(CONTROL!$C$22, $C$13, 100%, $E$13)</f>
        <v>16.732700000000001</v>
      </c>
      <c r="D964" s="63">
        <f>16.7327 * CHOOSE(CONTROL!$C$22, $C$13, 100%, $E$13)</f>
        <v>16.732700000000001</v>
      </c>
      <c r="E964" s="64">
        <f>18.7378 * CHOOSE(CONTROL!$C$22, $C$13, 100%, $E$13)</f>
        <v>18.7378</v>
      </c>
      <c r="F964" s="64">
        <f>18.7378 * CHOOSE(CONTROL!$C$22, $C$13, 100%, $E$13)</f>
        <v>18.7378</v>
      </c>
      <c r="G964" s="64">
        <f>18.7378 * CHOOSE(CONTROL!$C$22, $C$13, 100%, $E$13)</f>
        <v>18.7378</v>
      </c>
      <c r="H964" s="64">
        <f>32.6394* CHOOSE(CONTROL!$C$22, $C$13, 100%, $E$13)</f>
        <v>32.639400000000002</v>
      </c>
      <c r="I964" s="64">
        <f>32.6395 * CHOOSE(CONTROL!$C$22, $C$13, 100%, $E$13)</f>
        <v>32.639499999999998</v>
      </c>
      <c r="J964" s="64">
        <f>18.7378 * CHOOSE(CONTROL!$C$22, $C$13, 100%, $E$13)</f>
        <v>18.7378</v>
      </c>
      <c r="K964" s="64">
        <f>18.7378 * CHOOSE(CONTROL!$C$22, $C$13, 100%, $E$13)</f>
        <v>18.7378</v>
      </c>
    </row>
    <row r="965" spans="1:11" ht="15">
      <c r="A965" s="13">
        <v>70860</v>
      </c>
      <c r="B965" s="63">
        <f>16.67 * CHOOSE(CONTROL!$C$22, $C$13, 100%, $E$13)</f>
        <v>16.670000000000002</v>
      </c>
      <c r="C965" s="63">
        <f>16.67 * CHOOSE(CONTROL!$C$22, $C$13, 100%, $E$13)</f>
        <v>16.670000000000002</v>
      </c>
      <c r="D965" s="63">
        <f>16.67 * CHOOSE(CONTROL!$C$22, $C$13, 100%, $E$13)</f>
        <v>16.670000000000002</v>
      </c>
      <c r="E965" s="64">
        <f>18.8149 * CHOOSE(CONTROL!$C$22, $C$13, 100%, $E$13)</f>
        <v>18.814900000000002</v>
      </c>
      <c r="F965" s="64">
        <f>18.8149 * CHOOSE(CONTROL!$C$22, $C$13, 100%, $E$13)</f>
        <v>18.814900000000002</v>
      </c>
      <c r="G965" s="64">
        <f>18.815 * CHOOSE(CONTROL!$C$22, $C$13, 100%, $E$13)</f>
        <v>18.815000000000001</v>
      </c>
      <c r="H965" s="64">
        <f>32.3466* CHOOSE(CONTROL!$C$22, $C$13, 100%, $E$13)</f>
        <v>32.346600000000002</v>
      </c>
      <c r="I965" s="64">
        <f>32.3467 * CHOOSE(CONTROL!$C$22, $C$13, 100%, $E$13)</f>
        <v>32.346699999999998</v>
      </c>
      <c r="J965" s="64">
        <f>18.8149 * CHOOSE(CONTROL!$C$22, $C$13, 100%, $E$13)</f>
        <v>18.814900000000002</v>
      </c>
      <c r="K965" s="64">
        <f>18.815 * CHOOSE(CONTROL!$C$22, $C$13, 100%, $E$13)</f>
        <v>18.815000000000001</v>
      </c>
    </row>
    <row r="966" spans="1:11" ht="15">
      <c r="A966" s="13">
        <v>70891</v>
      </c>
      <c r="B966" s="63">
        <f>16.667 * CHOOSE(CONTROL!$C$22, $C$13, 100%, $E$13)</f>
        <v>16.667000000000002</v>
      </c>
      <c r="C966" s="63">
        <f>16.667 * CHOOSE(CONTROL!$C$22, $C$13, 100%, $E$13)</f>
        <v>16.667000000000002</v>
      </c>
      <c r="D966" s="63">
        <f>16.667 * CHOOSE(CONTROL!$C$22, $C$13, 100%, $E$13)</f>
        <v>16.667000000000002</v>
      </c>
      <c r="E966" s="64">
        <f>18.4739 * CHOOSE(CONTROL!$C$22, $C$13, 100%, $E$13)</f>
        <v>18.4739</v>
      </c>
      <c r="F966" s="64">
        <f>18.4739 * CHOOSE(CONTROL!$C$22, $C$13, 100%, $E$13)</f>
        <v>18.4739</v>
      </c>
      <c r="G966" s="64">
        <f>18.474 * CHOOSE(CONTROL!$C$22, $C$13, 100%, $E$13)</f>
        <v>18.474</v>
      </c>
      <c r="H966" s="64">
        <f>32.414* CHOOSE(CONTROL!$C$22, $C$13, 100%, $E$13)</f>
        <v>32.414000000000001</v>
      </c>
      <c r="I966" s="64">
        <f>32.4141 * CHOOSE(CONTROL!$C$22, $C$13, 100%, $E$13)</f>
        <v>32.414099999999998</v>
      </c>
      <c r="J966" s="64">
        <f>18.4739 * CHOOSE(CONTROL!$C$22, $C$13, 100%, $E$13)</f>
        <v>18.4739</v>
      </c>
      <c r="K966" s="64">
        <f>18.474 * CHOOSE(CONTROL!$C$22, $C$13, 100%, $E$13)</f>
        <v>18.474</v>
      </c>
    </row>
    <row r="967" spans="1:11" ht="15">
      <c r="A967" s="13">
        <v>70919</v>
      </c>
      <c r="B967" s="63">
        <f>16.6639 * CHOOSE(CONTROL!$C$22, $C$13, 100%, $E$13)</f>
        <v>16.663900000000002</v>
      </c>
      <c r="C967" s="63">
        <f>16.6639 * CHOOSE(CONTROL!$C$22, $C$13, 100%, $E$13)</f>
        <v>16.663900000000002</v>
      </c>
      <c r="D967" s="63">
        <f>16.6639 * CHOOSE(CONTROL!$C$22, $C$13, 100%, $E$13)</f>
        <v>16.663900000000002</v>
      </c>
      <c r="E967" s="64">
        <f>18.739 * CHOOSE(CONTROL!$C$22, $C$13, 100%, $E$13)</f>
        <v>18.739000000000001</v>
      </c>
      <c r="F967" s="64">
        <f>18.739 * CHOOSE(CONTROL!$C$22, $C$13, 100%, $E$13)</f>
        <v>18.739000000000001</v>
      </c>
      <c r="G967" s="64">
        <f>18.739 * CHOOSE(CONTROL!$C$22, $C$13, 100%, $E$13)</f>
        <v>18.739000000000001</v>
      </c>
      <c r="H967" s="64">
        <f>32.4815* CHOOSE(CONTROL!$C$22, $C$13, 100%, $E$13)</f>
        <v>32.481499999999997</v>
      </c>
      <c r="I967" s="64">
        <f>32.4816 * CHOOSE(CONTROL!$C$22, $C$13, 100%, $E$13)</f>
        <v>32.4816</v>
      </c>
      <c r="J967" s="64">
        <f>18.739 * CHOOSE(CONTROL!$C$22, $C$13, 100%, $E$13)</f>
        <v>18.739000000000001</v>
      </c>
      <c r="K967" s="64">
        <f>18.739 * CHOOSE(CONTROL!$C$22, $C$13, 100%, $E$13)</f>
        <v>18.739000000000001</v>
      </c>
    </row>
    <row r="968" spans="1:11" ht="15">
      <c r="A968" s="13">
        <v>70950</v>
      </c>
      <c r="B968" s="63">
        <f>16.6722 * CHOOSE(CONTROL!$C$22, $C$13, 100%, $E$13)</f>
        <v>16.6722</v>
      </c>
      <c r="C968" s="63">
        <f>16.6722 * CHOOSE(CONTROL!$C$22, $C$13, 100%, $E$13)</f>
        <v>16.6722</v>
      </c>
      <c r="D968" s="63">
        <f>16.6722 * CHOOSE(CONTROL!$C$22, $C$13, 100%, $E$13)</f>
        <v>16.6722</v>
      </c>
      <c r="E968" s="64">
        <f>19.0217 * CHOOSE(CONTROL!$C$22, $C$13, 100%, $E$13)</f>
        <v>19.021699999999999</v>
      </c>
      <c r="F968" s="64">
        <f>19.0217 * CHOOSE(CONTROL!$C$22, $C$13, 100%, $E$13)</f>
        <v>19.021699999999999</v>
      </c>
      <c r="G968" s="64">
        <f>19.0217 * CHOOSE(CONTROL!$C$22, $C$13, 100%, $E$13)</f>
        <v>19.021699999999999</v>
      </c>
      <c r="H968" s="64">
        <f>32.5492* CHOOSE(CONTROL!$C$22, $C$13, 100%, $E$13)</f>
        <v>32.549199999999999</v>
      </c>
      <c r="I968" s="64">
        <f>32.5493 * CHOOSE(CONTROL!$C$22, $C$13, 100%, $E$13)</f>
        <v>32.549300000000002</v>
      </c>
      <c r="J968" s="64">
        <f>19.0217 * CHOOSE(CONTROL!$C$22, $C$13, 100%, $E$13)</f>
        <v>19.021699999999999</v>
      </c>
      <c r="K968" s="64">
        <f>19.0217 * CHOOSE(CONTROL!$C$22, $C$13, 100%, $E$13)</f>
        <v>19.021699999999999</v>
      </c>
    </row>
    <row r="969" spans="1:11" ht="15">
      <c r="A969" s="13">
        <v>70980</v>
      </c>
      <c r="B969" s="63">
        <f>16.6722 * CHOOSE(CONTROL!$C$22, $C$13, 100%, $E$13)</f>
        <v>16.6722</v>
      </c>
      <c r="C969" s="63">
        <f>16.6722 * CHOOSE(CONTROL!$C$22, $C$13, 100%, $E$13)</f>
        <v>16.6722</v>
      </c>
      <c r="D969" s="63">
        <f>16.6803 * CHOOSE(CONTROL!$C$22, $C$13, 100%, $E$13)</f>
        <v>16.680299999999999</v>
      </c>
      <c r="E969" s="64">
        <f>19.1293 * CHOOSE(CONTROL!$C$22, $C$13, 100%, $E$13)</f>
        <v>19.129300000000001</v>
      </c>
      <c r="F969" s="64">
        <f>19.1293 * CHOOSE(CONTROL!$C$22, $C$13, 100%, $E$13)</f>
        <v>19.129300000000001</v>
      </c>
      <c r="G969" s="64">
        <f>19.1391 * CHOOSE(CONTROL!$C$22, $C$13, 100%, $E$13)</f>
        <v>19.139099999999999</v>
      </c>
      <c r="H969" s="64">
        <f>32.617* CHOOSE(CONTROL!$C$22, $C$13, 100%, $E$13)</f>
        <v>32.616999999999997</v>
      </c>
      <c r="I969" s="64">
        <f>32.6268 * CHOOSE(CONTROL!$C$22, $C$13, 100%, $E$13)</f>
        <v>32.626800000000003</v>
      </c>
      <c r="J969" s="64">
        <f>19.1293 * CHOOSE(CONTROL!$C$22, $C$13, 100%, $E$13)</f>
        <v>19.129300000000001</v>
      </c>
      <c r="K969" s="64">
        <f>19.1391 * CHOOSE(CONTROL!$C$22, $C$13, 100%, $E$13)</f>
        <v>19.139099999999999</v>
      </c>
    </row>
    <row r="970" spans="1:11" ht="15">
      <c r="A970" s="13">
        <v>71011</v>
      </c>
      <c r="B970" s="63">
        <f>16.6782 * CHOOSE(CONTROL!$C$22, $C$13, 100%, $E$13)</f>
        <v>16.6782</v>
      </c>
      <c r="C970" s="63">
        <f>16.6782 * CHOOSE(CONTROL!$C$22, $C$13, 100%, $E$13)</f>
        <v>16.6782</v>
      </c>
      <c r="D970" s="63">
        <f>16.6864 * CHOOSE(CONTROL!$C$22, $C$13, 100%, $E$13)</f>
        <v>16.686399999999999</v>
      </c>
      <c r="E970" s="64">
        <f>19.0259 * CHOOSE(CONTROL!$C$22, $C$13, 100%, $E$13)</f>
        <v>19.0259</v>
      </c>
      <c r="F970" s="64">
        <f>19.0259 * CHOOSE(CONTROL!$C$22, $C$13, 100%, $E$13)</f>
        <v>19.0259</v>
      </c>
      <c r="G970" s="64">
        <f>19.0357 * CHOOSE(CONTROL!$C$22, $C$13, 100%, $E$13)</f>
        <v>19.035699999999999</v>
      </c>
      <c r="H970" s="64">
        <f>32.685* CHOOSE(CONTROL!$C$22, $C$13, 100%, $E$13)</f>
        <v>32.685000000000002</v>
      </c>
      <c r="I970" s="64">
        <f>32.6948 * CHOOSE(CONTROL!$C$22, $C$13, 100%, $E$13)</f>
        <v>32.694800000000001</v>
      </c>
      <c r="J970" s="64">
        <f>19.0259 * CHOOSE(CONTROL!$C$22, $C$13, 100%, $E$13)</f>
        <v>19.0259</v>
      </c>
      <c r="K970" s="64">
        <f>19.0357 * CHOOSE(CONTROL!$C$22, $C$13, 100%, $E$13)</f>
        <v>19.035699999999999</v>
      </c>
    </row>
    <row r="971" spans="1:11" ht="15">
      <c r="A971" s="13">
        <v>71041</v>
      </c>
      <c r="B971" s="63">
        <f>16.9294 * CHOOSE(CONTROL!$C$22, $C$13, 100%, $E$13)</f>
        <v>16.929400000000001</v>
      </c>
      <c r="C971" s="63">
        <f>16.9294 * CHOOSE(CONTROL!$C$22, $C$13, 100%, $E$13)</f>
        <v>16.929400000000001</v>
      </c>
      <c r="D971" s="63">
        <f>16.9375 * CHOOSE(CONTROL!$C$22, $C$13, 100%, $E$13)</f>
        <v>16.9375</v>
      </c>
      <c r="E971" s="64">
        <f>19.3264 * CHOOSE(CONTROL!$C$22, $C$13, 100%, $E$13)</f>
        <v>19.3264</v>
      </c>
      <c r="F971" s="64">
        <f>19.3264 * CHOOSE(CONTROL!$C$22, $C$13, 100%, $E$13)</f>
        <v>19.3264</v>
      </c>
      <c r="G971" s="64">
        <f>19.3362 * CHOOSE(CONTROL!$C$22, $C$13, 100%, $E$13)</f>
        <v>19.336200000000002</v>
      </c>
      <c r="H971" s="64">
        <f>32.7531* CHOOSE(CONTROL!$C$22, $C$13, 100%, $E$13)</f>
        <v>32.753100000000003</v>
      </c>
      <c r="I971" s="64">
        <f>32.7629 * CHOOSE(CONTROL!$C$22, $C$13, 100%, $E$13)</f>
        <v>32.762900000000002</v>
      </c>
      <c r="J971" s="64">
        <f>19.3264 * CHOOSE(CONTROL!$C$22, $C$13, 100%, $E$13)</f>
        <v>19.3264</v>
      </c>
      <c r="K971" s="64">
        <f>19.3362 * CHOOSE(CONTROL!$C$22, $C$13, 100%, $E$13)</f>
        <v>19.336200000000002</v>
      </c>
    </row>
    <row r="972" spans="1:11" ht="15">
      <c r="A972" s="13">
        <v>71072</v>
      </c>
      <c r="B972" s="63">
        <f>16.9361 * CHOOSE(CONTROL!$C$22, $C$13, 100%, $E$13)</f>
        <v>16.9361</v>
      </c>
      <c r="C972" s="63">
        <f>16.9361 * CHOOSE(CONTROL!$C$22, $C$13, 100%, $E$13)</f>
        <v>16.9361</v>
      </c>
      <c r="D972" s="63">
        <f>16.9442 * CHOOSE(CONTROL!$C$22, $C$13, 100%, $E$13)</f>
        <v>16.944199999999999</v>
      </c>
      <c r="E972" s="64">
        <f>19.0083 * CHOOSE(CONTROL!$C$22, $C$13, 100%, $E$13)</f>
        <v>19.008299999999998</v>
      </c>
      <c r="F972" s="64">
        <f>19.0083 * CHOOSE(CONTROL!$C$22, $C$13, 100%, $E$13)</f>
        <v>19.008299999999998</v>
      </c>
      <c r="G972" s="64">
        <f>19.0181 * CHOOSE(CONTROL!$C$22, $C$13, 100%, $E$13)</f>
        <v>19.0181</v>
      </c>
      <c r="H972" s="64">
        <f>32.8213* CHOOSE(CONTROL!$C$22, $C$13, 100%, $E$13)</f>
        <v>32.821300000000001</v>
      </c>
      <c r="I972" s="64">
        <f>32.8311 * CHOOSE(CONTROL!$C$22, $C$13, 100%, $E$13)</f>
        <v>32.831099999999999</v>
      </c>
      <c r="J972" s="64">
        <f>19.0083 * CHOOSE(CONTROL!$C$22, $C$13, 100%, $E$13)</f>
        <v>19.008299999999998</v>
      </c>
      <c r="K972" s="64">
        <f>19.0181 * CHOOSE(CONTROL!$C$22, $C$13, 100%, $E$13)</f>
        <v>19.0181</v>
      </c>
    </row>
    <row r="973" spans="1:11" ht="15">
      <c r="A973" s="13">
        <v>71103</v>
      </c>
      <c r="B973" s="63">
        <f>16.933 * CHOOSE(CONTROL!$C$22, $C$13, 100%, $E$13)</f>
        <v>16.933</v>
      </c>
      <c r="C973" s="63">
        <f>16.933 * CHOOSE(CONTROL!$C$22, $C$13, 100%, $E$13)</f>
        <v>16.933</v>
      </c>
      <c r="D973" s="63">
        <f>16.9412 * CHOOSE(CONTROL!$C$22, $C$13, 100%, $E$13)</f>
        <v>16.941199999999998</v>
      </c>
      <c r="E973" s="64">
        <f>18.9703 * CHOOSE(CONTROL!$C$22, $C$13, 100%, $E$13)</f>
        <v>18.970300000000002</v>
      </c>
      <c r="F973" s="64">
        <f>18.9703 * CHOOSE(CONTROL!$C$22, $C$13, 100%, $E$13)</f>
        <v>18.970300000000002</v>
      </c>
      <c r="G973" s="64">
        <f>18.9801 * CHOOSE(CONTROL!$C$22, $C$13, 100%, $E$13)</f>
        <v>18.9801</v>
      </c>
      <c r="H973" s="64">
        <f>32.8897* CHOOSE(CONTROL!$C$22, $C$13, 100%, $E$13)</f>
        <v>32.889699999999998</v>
      </c>
      <c r="I973" s="64">
        <f>32.8995 * CHOOSE(CONTROL!$C$22, $C$13, 100%, $E$13)</f>
        <v>32.899500000000003</v>
      </c>
      <c r="J973" s="64">
        <f>18.9703 * CHOOSE(CONTROL!$C$22, $C$13, 100%, $E$13)</f>
        <v>18.970300000000002</v>
      </c>
      <c r="K973" s="64">
        <f>18.9801 * CHOOSE(CONTROL!$C$22, $C$13, 100%, $E$13)</f>
        <v>18.9801</v>
      </c>
    </row>
    <row r="974" spans="1:11" ht="15">
      <c r="A974" s="13">
        <v>71133</v>
      </c>
      <c r="B974" s="63">
        <f>16.9696 * CHOOSE(CONTROL!$C$22, $C$13, 100%, $E$13)</f>
        <v>16.9696</v>
      </c>
      <c r="C974" s="63">
        <f>16.9696 * CHOOSE(CONTROL!$C$22, $C$13, 100%, $E$13)</f>
        <v>16.9696</v>
      </c>
      <c r="D974" s="63">
        <f>16.9696 * CHOOSE(CONTROL!$C$22, $C$13, 100%, $E$13)</f>
        <v>16.9696</v>
      </c>
      <c r="E974" s="64">
        <f>19.1003 * CHOOSE(CONTROL!$C$22, $C$13, 100%, $E$13)</f>
        <v>19.100300000000001</v>
      </c>
      <c r="F974" s="64">
        <f>19.1003 * CHOOSE(CONTROL!$C$22, $C$13, 100%, $E$13)</f>
        <v>19.100300000000001</v>
      </c>
      <c r="G974" s="64">
        <f>19.1004 * CHOOSE(CONTROL!$C$22, $C$13, 100%, $E$13)</f>
        <v>19.1004</v>
      </c>
      <c r="H974" s="64">
        <f>32.9582* CHOOSE(CONTROL!$C$22, $C$13, 100%, $E$13)</f>
        <v>32.958199999999998</v>
      </c>
      <c r="I974" s="64">
        <f>32.9583 * CHOOSE(CONTROL!$C$22, $C$13, 100%, $E$13)</f>
        <v>32.958300000000001</v>
      </c>
      <c r="J974" s="64">
        <f>19.1003 * CHOOSE(CONTROL!$C$22, $C$13, 100%, $E$13)</f>
        <v>19.100300000000001</v>
      </c>
      <c r="K974" s="64">
        <f>19.1004 * CHOOSE(CONTROL!$C$22, $C$13, 100%, $E$13)</f>
        <v>19.1004</v>
      </c>
    </row>
    <row r="975" spans="1:11" ht="15">
      <c r="A975" s="13">
        <v>71164</v>
      </c>
      <c r="B975" s="63">
        <f>16.9727 * CHOOSE(CONTROL!$C$22, $C$13, 100%, $E$13)</f>
        <v>16.9727</v>
      </c>
      <c r="C975" s="63">
        <f>16.9727 * CHOOSE(CONTROL!$C$22, $C$13, 100%, $E$13)</f>
        <v>16.9727</v>
      </c>
      <c r="D975" s="63">
        <f>16.9727 * CHOOSE(CONTROL!$C$22, $C$13, 100%, $E$13)</f>
        <v>16.9727</v>
      </c>
      <c r="E975" s="64">
        <f>19.1742 * CHOOSE(CONTROL!$C$22, $C$13, 100%, $E$13)</f>
        <v>19.174199999999999</v>
      </c>
      <c r="F975" s="64">
        <f>19.1742 * CHOOSE(CONTROL!$C$22, $C$13, 100%, $E$13)</f>
        <v>19.174199999999999</v>
      </c>
      <c r="G975" s="64">
        <f>19.1743 * CHOOSE(CONTROL!$C$22, $C$13, 100%, $E$13)</f>
        <v>19.174299999999999</v>
      </c>
      <c r="H975" s="64">
        <f>33.0268* CHOOSE(CONTROL!$C$22, $C$13, 100%, $E$13)</f>
        <v>33.026800000000001</v>
      </c>
      <c r="I975" s="64">
        <f>33.0269 * CHOOSE(CONTROL!$C$22, $C$13, 100%, $E$13)</f>
        <v>33.026899999999998</v>
      </c>
      <c r="J975" s="64">
        <f>19.1742 * CHOOSE(CONTROL!$C$22, $C$13, 100%, $E$13)</f>
        <v>19.174199999999999</v>
      </c>
      <c r="K975" s="64">
        <f>19.1743 * CHOOSE(CONTROL!$C$22, $C$13, 100%, $E$13)</f>
        <v>19.174299999999999</v>
      </c>
    </row>
    <row r="976" spans="1:11" ht="15">
      <c r="A976" s="13">
        <v>71194</v>
      </c>
      <c r="B976" s="63">
        <f>16.9727 * CHOOSE(CONTROL!$C$22, $C$13, 100%, $E$13)</f>
        <v>16.9727</v>
      </c>
      <c r="C976" s="63">
        <f>16.9727 * CHOOSE(CONTROL!$C$22, $C$13, 100%, $E$13)</f>
        <v>16.9727</v>
      </c>
      <c r="D976" s="63">
        <f>16.9727 * CHOOSE(CONTROL!$C$22, $C$13, 100%, $E$13)</f>
        <v>16.9727</v>
      </c>
      <c r="E976" s="64">
        <f>18.9948 * CHOOSE(CONTROL!$C$22, $C$13, 100%, $E$13)</f>
        <v>18.994800000000001</v>
      </c>
      <c r="F976" s="64">
        <f>18.9948 * CHOOSE(CONTROL!$C$22, $C$13, 100%, $E$13)</f>
        <v>18.994800000000001</v>
      </c>
      <c r="G976" s="64">
        <f>18.9949 * CHOOSE(CONTROL!$C$22, $C$13, 100%, $E$13)</f>
        <v>18.994900000000001</v>
      </c>
      <c r="H976" s="64">
        <f>33.0957* CHOOSE(CONTROL!$C$22, $C$13, 100%, $E$13)</f>
        <v>33.095700000000001</v>
      </c>
      <c r="I976" s="64">
        <f>33.0957 * CHOOSE(CONTROL!$C$22, $C$13, 100%, $E$13)</f>
        <v>33.095700000000001</v>
      </c>
      <c r="J976" s="64">
        <f>18.9948 * CHOOSE(CONTROL!$C$22, $C$13, 100%, $E$13)</f>
        <v>18.994800000000001</v>
      </c>
      <c r="K976" s="64">
        <f>18.9949 * CHOOSE(CONTROL!$C$22, $C$13, 100%, $E$13)</f>
        <v>18.994900000000001</v>
      </c>
    </row>
    <row r="977" spans="1:11" ht="15">
      <c r="A977" s="13">
        <v>71225</v>
      </c>
      <c r="B977" s="63">
        <f>16.9056 * CHOOSE(CONTROL!$C$22, $C$13, 100%, $E$13)</f>
        <v>16.9056</v>
      </c>
      <c r="C977" s="63">
        <f>16.9056 * CHOOSE(CONTROL!$C$22, $C$13, 100%, $E$13)</f>
        <v>16.9056</v>
      </c>
      <c r="D977" s="63">
        <f>16.9056 * CHOOSE(CONTROL!$C$22, $C$13, 100%, $E$13)</f>
        <v>16.9056</v>
      </c>
      <c r="E977" s="64">
        <f>19.0697 * CHOOSE(CONTROL!$C$22, $C$13, 100%, $E$13)</f>
        <v>19.069700000000001</v>
      </c>
      <c r="F977" s="64">
        <f>19.0697 * CHOOSE(CONTROL!$C$22, $C$13, 100%, $E$13)</f>
        <v>19.069700000000001</v>
      </c>
      <c r="G977" s="64">
        <f>19.0697 * CHOOSE(CONTROL!$C$22, $C$13, 100%, $E$13)</f>
        <v>19.069700000000001</v>
      </c>
      <c r="H977" s="64">
        <f>32.7925* CHOOSE(CONTROL!$C$22, $C$13, 100%, $E$13)</f>
        <v>32.792499999999997</v>
      </c>
      <c r="I977" s="64">
        <f>32.7926 * CHOOSE(CONTROL!$C$22, $C$13, 100%, $E$13)</f>
        <v>32.7926</v>
      </c>
      <c r="J977" s="64">
        <f>19.0697 * CHOOSE(CONTROL!$C$22, $C$13, 100%, $E$13)</f>
        <v>19.069700000000001</v>
      </c>
      <c r="K977" s="64">
        <f>19.0697 * CHOOSE(CONTROL!$C$22, $C$13, 100%, $E$13)</f>
        <v>19.069700000000001</v>
      </c>
    </row>
    <row r="978" spans="1:11" ht="15">
      <c r="A978" s="13">
        <v>71256</v>
      </c>
      <c r="B978" s="63">
        <f>16.9025 * CHOOSE(CONTROL!$C$22, $C$13, 100%, $E$13)</f>
        <v>16.9025</v>
      </c>
      <c r="C978" s="63">
        <f>16.9025 * CHOOSE(CONTROL!$C$22, $C$13, 100%, $E$13)</f>
        <v>16.9025</v>
      </c>
      <c r="D978" s="63">
        <f>16.9026 * CHOOSE(CONTROL!$C$22, $C$13, 100%, $E$13)</f>
        <v>16.9026</v>
      </c>
      <c r="E978" s="64">
        <f>18.7237 * CHOOSE(CONTROL!$C$22, $C$13, 100%, $E$13)</f>
        <v>18.723700000000001</v>
      </c>
      <c r="F978" s="64">
        <f>18.7237 * CHOOSE(CONTROL!$C$22, $C$13, 100%, $E$13)</f>
        <v>18.723700000000001</v>
      </c>
      <c r="G978" s="64">
        <f>18.7238 * CHOOSE(CONTROL!$C$22, $C$13, 100%, $E$13)</f>
        <v>18.723800000000001</v>
      </c>
      <c r="H978" s="64">
        <f>32.8608* CHOOSE(CONTROL!$C$22, $C$13, 100%, $E$13)</f>
        <v>32.860799999999998</v>
      </c>
      <c r="I978" s="64">
        <f>32.8609 * CHOOSE(CONTROL!$C$22, $C$13, 100%, $E$13)</f>
        <v>32.860900000000001</v>
      </c>
      <c r="J978" s="64">
        <f>18.7237 * CHOOSE(CONTROL!$C$22, $C$13, 100%, $E$13)</f>
        <v>18.723700000000001</v>
      </c>
      <c r="K978" s="64">
        <f>18.7238 * CHOOSE(CONTROL!$C$22, $C$13, 100%, $E$13)</f>
        <v>18.723800000000001</v>
      </c>
    </row>
    <row r="979" spans="1:11" ht="15">
      <c r="A979" s="13">
        <v>71284</v>
      </c>
      <c r="B979" s="63">
        <f>16.8995 * CHOOSE(CONTROL!$C$22, $C$13, 100%, $E$13)</f>
        <v>16.8995</v>
      </c>
      <c r="C979" s="63">
        <f>16.8995 * CHOOSE(CONTROL!$C$22, $C$13, 100%, $E$13)</f>
        <v>16.8995</v>
      </c>
      <c r="D979" s="63">
        <f>16.8995 * CHOOSE(CONTROL!$C$22, $C$13, 100%, $E$13)</f>
        <v>16.8995</v>
      </c>
      <c r="E979" s="64">
        <f>18.9926 * CHOOSE(CONTROL!$C$22, $C$13, 100%, $E$13)</f>
        <v>18.992599999999999</v>
      </c>
      <c r="F979" s="64">
        <f>18.9926 * CHOOSE(CONTROL!$C$22, $C$13, 100%, $E$13)</f>
        <v>18.992599999999999</v>
      </c>
      <c r="G979" s="64">
        <f>18.9927 * CHOOSE(CONTROL!$C$22, $C$13, 100%, $E$13)</f>
        <v>18.992699999999999</v>
      </c>
      <c r="H979" s="64">
        <f>32.9293* CHOOSE(CONTROL!$C$22, $C$13, 100%, $E$13)</f>
        <v>32.929299999999998</v>
      </c>
      <c r="I979" s="64">
        <f>32.9294 * CHOOSE(CONTROL!$C$22, $C$13, 100%, $E$13)</f>
        <v>32.929400000000001</v>
      </c>
      <c r="J979" s="64">
        <f>18.9926 * CHOOSE(CONTROL!$C$22, $C$13, 100%, $E$13)</f>
        <v>18.992599999999999</v>
      </c>
      <c r="K979" s="64">
        <f>18.9927 * CHOOSE(CONTROL!$C$22, $C$13, 100%, $E$13)</f>
        <v>18.992699999999999</v>
      </c>
    </row>
    <row r="980" spans="1:11" ht="15">
      <c r="A980" s="13">
        <v>71315</v>
      </c>
      <c r="B980" s="63">
        <f>16.9079 * CHOOSE(CONTROL!$C$22, $C$13, 100%, $E$13)</f>
        <v>16.907900000000001</v>
      </c>
      <c r="C980" s="63">
        <f>16.9079 * CHOOSE(CONTROL!$C$22, $C$13, 100%, $E$13)</f>
        <v>16.907900000000001</v>
      </c>
      <c r="D980" s="63">
        <f>16.9079 * CHOOSE(CONTROL!$C$22, $C$13, 100%, $E$13)</f>
        <v>16.907900000000001</v>
      </c>
      <c r="E980" s="64">
        <f>19.2795 * CHOOSE(CONTROL!$C$22, $C$13, 100%, $E$13)</f>
        <v>19.279499999999999</v>
      </c>
      <c r="F980" s="64">
        <f>19.2795 * CHOOSE(CONTROL!$C$22, $C$13, 100%, $E$13)</f>
        <v>19.279499999999999</v>
      </c>
      <c r="G980" s="64">
        <f>19.2796 * CHOOSE(CONTROL!$C$22, $C$13, 100%, $E$13)</f>
        <v>19.279599999999999</v>
      </c>
      <c r="H980" s="64">
        <f>32.9979* CHOOSE(CONTROL!$C$22, $C$13, 100%, $E$13)</f>
        <v>32.997900000000001</v>
      </c>
      <c r="I980" s="64">
        <f>32.998 * CHOOSE(CONTROL!$C$22, $C$13, 100%, $E$13)</f>
        <v>32.997999999999998</v>
      </c>
      <c r="J980" s="64">
        <f>19.2795 * CHOOSE(CONTROL!$C$22, $C$13, 100%, $E$13)</f>
        <v>19.279499999999999</v>
      </c>
      <c r="K980" s="64">
        <f>19.2796 * CHOOSE(CONTROL!$C$22, $C$13, 100%, $E$13)</f>
        <v>19.279599999999999</v>
      </c>
    </row>
    <row r="981" spans="1:11" ht="15">
      <c r="A981" s="13">
        <v>71345</v>
      </c>
      <c r="B981" s="63">
        <f>16.9079 * CHOOSE(CONTROL!$C$22, $C$13, 100%, $E$13)</f>
        <v>16.907900000000001</v>
      </c>
      <c r="C981" s="63">
        <f>16.9079 * CHOOSE(CONTROL!$C$22, $C$13, 100%, $E$13)</f>
        <v>16.907900000000001</v>
      </c>
      <c r="D981" s="63">
        <f>16.916 * CHOOSE(CONTROL!$C$22, $C$13, 100%, $E$13)</f>
        <v>16.916</v>
      </c>
      <c r="E981" s="64">
        <f>19.3887 * CHOOSE(CONTROL!$C$22, $C$13, 100%, $E$13)</f>
        <v>19.3887</v>
      </c>
      <c r="F981" s="64">
        <f>19.3887 * CHOOSE(CONTROL!$C$22, $C$13, 100%, $E$13)</f>
        <v>19.3887</v>
      </c>
      <c r="G981" s="64">
        <f>19.3985 * CHOOSE(CONTROL!$C$22, $C$13, 100%, $E$13)</f>
        <v>19.398499999999999</v>
      </c>
      <c r="H981" s="64">
        <f>33.0666* CHOOSE(CONTROL!$C$22, $C$13, 100%, $E$13)</f>
        <v>33.066600000000001</v>
      </c>
      <c r="I981" s="64">
        <f>33.0765 * CHOOSE(CONTROL!$C$22, $C$13, 100%, $E$13)</f>
        <v>33.076500000000003</v>
      </c>
      <c r="J981" s="64">
        <f>19.3887 * CHOOSE(CONTROL!$C$22, $C$13, 100%, $E$13)</f>
        <v>19.3887</v>
      </c>
      <c r="K981" s="64">
        <f>19.3985 * CHOOSE(CONTROL!$C$22, $C$13, 100%, $E$13)</f>
        <v>19.398499999999999</v>
      </c>
    </row>
    <row r="982" spans="1:11" ht="15">
      <c r="A982" s="13">
        <v>71376</v>
      </c>
      <c r="B982" s="63">
        <f>16.914 * CHOOSE(CONTROL!$C$22, $C$13, 100%, $E$13)</f>
        <v>16.914000000000001</v>
      </c>
      <c r="C982" s="63">
        <f>16.914 * CHOOSE(CONTROL!$C$22, $C$13, 100%, $E$13)</f>
        <v>16.914000000000001</v>
      </c>
      <c r="D982" s="63">
        <f>16.9221 * CHOOSE(CONTROL!$C$22, $C$13, 100%, $E$13)</f>
        <v>16.9221</v>
      </c>
      <c r="E982" s="64">
        <f>19.2838 * CHOOSE(CONTROL!$C$22, $C$13, 100%, $E$13)</f>
        <v>19.283799999999999</v>
      </c>
      <c r="F982" s="64">
        <f>19.2838 * CHOOSE(CONTROL!$C$22, $C$13, 100%, $E$13)</f>
        <v>19.283799999999999</v>
      </c>
      <c r="G982" s="64">
        <f>19.2936 * CHOOSE(CONTROL!$C$22, $C$13, 100%, $E$13)</f>
        <v>19.293600000000001</v>
      </c>
      <c r="H982" s="64">
        <f>33.1355* CHOOSE(CONTROL!$C$22, $C$13, 100%, $E$13)</f>
        <v>33.1355</v>
      </c>
      <c r="I982" s="64">
        <f>33.1453 * CHOOSE(CONTROL!$C$22, $C$13, 100%, $E$13)</f>
        <v>33.145299999999999</v>
      </c>
      <c r="J982" s="64">
        <f>19.2838 * CHOOSE(CONTROL!$C$22, $C$13, 100%, $E$13)</f>
        <v>19.283799999999999</v>
      </c>
      <c r="K982" s="64">
        <f>19.2936 * CHOOSE(CONTROL!$C$22, $C$13, 100%, $E$13)</f>
        <v>19.293600000000001</v>
      </c>
    </row>
    <row r="983" spans="1:11" ht="15">
      <c r="A983" s="13">
        <v>71406</v>
      </c>
      <c r="B983" s="63">
        <f>17.1686 * CHOOSE(CONTROL!$C$22, $C$13, 100%, $E$13)</f>
        <v>17.168600000000001</v>
      </c>
      <c r="C983" s="63">
        <f>17.1686 * CHOOSE(CONTROL!$C$22, $C$13, 100%, $E$13)</f>
        <v>17.168600000000001</v>
      </c>
      <c r="D983" s="63">
        <f>17.1767 * CHOOSE(CONTROL!$C$22, $C$13, 100%, $E$13)</f>
        <v>17.1767</v>
      </c>
      <c r="E983" s="64">
        <f>19.5882 * CHOOSE(CONTROL!$C$22, $C$13, 100%, $E$13)</f>
        <v>19.588200000000001</v>
      </c>
      <c r="F983" s="64">
        <f>19.5882 * CHOOSE(CONTROL!$C$22, $C$13, 100%, $E$13)</f>
        <v>19.588200000000001</v>
      </c>
      <c r="G983" s="64">
        <f>19.598 * CHOOSE(CONTROL!$C$22, $C$13, 100%, $E$13)</f>
        <v>19.597999999999999</v>
      </c>
      <c r="H983" s="64">
        <f>33.2045* CHOOSE(CONTROL!$C$22, $C$13, 100%, $E$13)</f>
        <v>33.204500000000003</v>
      </c>
      <c r="I983" s="64">
        <f>33.2144 * CHOOSE(CONTROL!$C$22, $C$13, 100%, $E$13)</f>
        <v>33.214399999999998</v>
      </c>
      <c r="J983" s="64">
        <f>19.5882 * CHOOSE(CONTROL!$C$22, $C$13, 100%, $E$13)</f>
        <v>19.588200000000001</v>
      </c>
      <c r="K983" s="64">
        <f>19.598 * CHOOSE(CONTROL!$C$22, $C$13, 100%, $E$13)</f>
        <v>19.597999999999999</v>
      </c>
    </row>
    <row r="984" spans="1:11" ht="15">
      <c r="A984" s="13">
        <v>71437</v>
      </c>
      <c r="B984" s="63">
        <f>17.1753 * CHOOSE(CONTROL!$C$22, $C$13, 100%, $E$13)</f>
        <v>17.1753</v>
      </c>
      <c r="C984" s="63">
        <f>17.1753 * CHOOSE(CONTROL!$C$22, $C$13, 100%, $E$13)</f>
        <v>17.1753</v>
      </c>
      <c r="D984" s="63">
        <f>17.1834 * CHOOSE(CONTROL!$C$22, $C$13, 100%, $E$13)</f>
        <v>17.183399999999999</v>
      </c>
      <c r="E984" s="64">
        <f>19.2653 * CHOOSE(CONTROL!$C$22, $C$13, 100%, $E$13)</f>
        <v>19.2653</v>
      </c>
      <c r="F984" s="64">
        <f>19.2653 * CHOOSE(CONTROL!$C$22, $C$13, 100%, $E$13)</f>
        <v>19.2653</v>
      </c>
      <c r="G984" s="64">
        <f>19.2752 * CHOOSE(CONTROL!$C$22, $C$13, 100%, $E$13)</f>
        <v>19.275200000000002</v>
      </c>
      <c r="H984" s="64">
        <f>33.2737* CHOOSE(CONTROL!$C$22, $C$13, 100%, $E$13)</f>
        <v>33.273699999999998</v>
      </c>
      <c r="I984" s="64">
        <f>33.2836 * CHOOSE(CONTROL!$C$22, $C$13, 100%, $E$13)</f>
        <v>33.2836</v>
      </c>
      <c r="J984" s="64">
        <f>19.2653 * CHOOSE(CONTROL!$C$22, $C$13, 100%, $E$13)</f>
        <v>19.2653</v>
      </c>
      <c r="K984" s="64">
        <f>19.2752 * CHOOSE(CONTROL!$C$22, $C$13, 100%, $E$13)</f>
        <v>19.275200000000002</v>
      </c>
    </row>
    <row r="985" spans="1:11" ht="15">
      <c r="A985" s="13">
        <v>71468</v>
      </c>
      <c r="B985" s="63">
        <f>17.1722 * CHOOSE(CONTROL!$C$22, $C$13, 100%, $E$13)</f>
        <v>17.1722</v>
      </c>
      <c r="C985" s="63">
        <f>17.1722 * CHOOSE(CONTROL!$C$22, $C$13, 100%, $E$13)</f>
        <v>17.1722</v>
      </c>
      <c r="D985" s="63">
        <f>17.1803 * CHOOSE(CONTROL!$C$22, $C$13, 100%, $E$13)</f>
        <v>17.180299999999999</v>
      </c>
      <c r="E985" s="64">
        <f>19.2268 * CHOOSE(CONTROL!$C$22, $C$13, 100%, $E$13)</f>
        <v>19.226800000000001</v>
      </c>
      <c r="F985" s="64">
        <f>19.2268 * CHOOSE(CONTROL!$C$22, $C$13, 100%, $E$13)</f>
        <v>19.226800000000001</v>
      </c>
      <c r="G985" s="64">
        <f>19.2366 * CHOOSE(CONTROL!$C$22, $C$13, 100%, $E$13)</f>
        <v>19.236599999999999</v>
      </c>
      <c r="H985" s="64">
        <f>33.343* CHOOSE(CONTROL!$C$22, $C$13, 100%, $E$13)</f>
        <v>33.343000000000004</v>
      </c>
      <c r="I985" s="64">
        <f>33.3529 * CHOOSE(CONTROL!$C$22, $C$13, 100%, $E$13)</f>
        <v>33.352899999999998</v>
      </c>
      <c r="J985" s="64">
        <f>19.2268 * CHOOSE(CONTROL!$C$22, $C$13, 100%, $E$13)</f>
        <v>19.226800000000001</v>
      </c>
      <c r="K985" s="64">
        <f>19.2366 * CHOOSE(CONTROL!$C$22, $C$13, 100%, $E$13)</f>
        <v>19.236599999999999</v>
      </c>
    </row>
    <row r="986" spans="1:11" ht="15">
      <c r="A986" s="13">
        <v>71498</v>
      </c>
      <c r="B986" s="63">
        <f>17.2096 * CHOOSE(CONTROL!$C$22, $C$13, 100%, $E$13)</f>
        <v>17.209599999999998</v>
      </c>
      <c r="C986" s="63">
        <f>17.2096 * CHOOSE(CONTROL!$C$22, $C$13, 100%, $E$13)</f>
        <v>17.209599999999998</v>
      </c>
      <c r="D986" s="63">
        <f>17.2096 * CHOOSE(CONTROL!$C$22, $C$13, 100%, $E$13)</f>
        <v>17.209599999999998</v>
      </c>
      <c r="E986" s="64">
        <f>19.359 * CHOOSE(CONTROL!$C$22, $C$13, 100%, $E$13)</f>
        <v>19.359000000000002</v>
      </c>
      <c r="F986" s="64">
        <f>19.359 * CHOOSE(CONTROL!$C$22, $C$13, 100%, $E$13)</f>
        <v>19.359000000000002</v>
      </c>
      <c r="G986" s="64">
        <f>19.359 * CHOOSE(CONTROL!$C$22, $C$13, 100%, $E$13)</f>
        <v>19.359000000000002</v>
      </c>
      <c r="H986" s="64">
        <f>33.4125* CHOOSE(CONTROL!$C$22, $C$13, 100%, $E$13)</f>
        <v>33.412500000000001</v>
      </c>
      <c r="I986" s="64">
        <f>33.4126 * CHOOSE(CONTROL!$C$22, $C$13, 100%, $E$13)</f>
        <v>33.412599999999998</v>
      </c>
      <c r="J986" s="64">
        <f>19.359 * CHOOSE(CONTROL!$C$22, $C$13, 100%, $E$13)</f>
        <v>19.359000000000002</v>
      </c>
      <c r="K986" s="64">
        <f>19.359 * CHOOSE(CONTROL!$C$22, $C$13, 100%, $E$13)</f>
        <v>19.359000000000002</v>
      </c>
    </row>
    <row r="987" spans="1:11" ht="15">
      <c r="A987" s="13">
        <v>71529</v>
      </c>
      <c r="B987" s="63">
        <f>17.2126 * CHOOSE(CONTROL!$C$22, $C$13, 100%, $E$13)</f>
        <v>17.212599999999998</v>
      </c>
      <c r="C987" s="63">
        <f>17.2126 * CHOOSE(CONTROL!$C$22, $C$13, 100%, $E$13)</f>
        <v>17.212599999999998</v>
      </c>
      <c r="D987" s="63">
        <f>17.2126 * CHOOSE(CONTROL!$C$22, $C$13, 100%, $E$13)</f>
        <v>17.212599999999998</v>
      </c>
      <c r="E987" s="64">
        <f>19.4339 * CHOOSE(CONTROL!$C$22, $C$13, 100%, $E$13)</f>
        <v>19.433900000000001</v>
      </c>
      <c r="F987" s="64">
        <f>19.4339 * CHOOSE(CONTROL!$C$22, $C$13, 100%, $E$13)</f>
        <v>19.433900000000001</v>
      </c>
      <c r="G987" s="64">
        <f>19.4339 * CHOOSE(CONTROL!$C$22, $C$13, 100%, $E$13)</f>
        <v>19.433900000000001</v>
      </c>
      <c r="H987" s="64">
        <f>33.4821* CHOOSE(CONTROL!$C$22, $C$13, 100%, $E$13)</f>
        <v>33.482100000000003</v>
      </c>
      <c r="I987" s="64">
        <f>33.4822 * CHOOSE(CONTROL!$C$22, $C$13, 100%, $E$13)</f>
        <v>33.482199999999999</v>
      </c>
      <c r="J987" s="64">
        <f>19.4339 * CHOOSE(CONTROL!$C$22, $C$13, 100%, $E$13)</f>
        <v>19.433900000000001</v>
      </c>
      <c r="K987" s="64">
        <f>19.4339 * CHOOSE(CONTROL!$C$22, $C$13, 100%, $E$13)</f>
        <v>19.433900000000001</v>
      </c>
    </row>
    <row r="988" spans="1:11" ht="15">
      <c r="A988" s="13">
        <v>71559</v>
      </c>
      <c r="B988" s="63">
        <f>17.2126 * CHOOSE(CONTROL!$C$22, $C$13, 100%, $E$13)</f>
        <v>17.212599999999998</v>
      </c>
      <c r="C988" s="63">
        <f>17.2126 * CHOOSE(CONTROL!$C$22, $C$13, 100%, $E$13)</f>
        <v>17.212599999999998</v>
      </c>
      <c r="D988" s="63">
        <f>17.2126 * CHOOSE(CONTROL!$C$22, $C$13, 100%, $E$13)</f>
        <v>17.212599999999998</v>
      </c>
      <c r="E988" s="64">
        <f>19.2519 * CHOOSE(CONTROL!$C$22, $C$13, 100%, $E$13)</f>
        <v>19.251899999999999</v>
      </c>
      <c r="F988" s="64">
        <f>19.2519 * CHOOSE(CONTROL!$C$22, $C$13, 100%, $E$13)</f>
        <v>19.251899999999999</v>
      </c>
      <c r="G988" s="64">
        <f>19.252 * CHOOSE(CONTROL!$C$22, $C$13, 100%, $E$13)</f>
        <v>19.251999999999999</v>
      </c>
      <c r="H988" s="64">
        <f>33.5519* CHOOSE(CONTROL!$C$22, $C$13, 100%, $E$13)</f>
        <v>33.551900000000003</v>
      </c>
      <c r="I988" s="64">
        <f>33.5519 * CHOOSE(CONTROL!$C$22, $C$13, 100%, $E$13)</f>
        <v>33.551900000000003</v>
      </c>
      <c r="J988" s="64">
        <f>19.2519 * CHOOSE(CONTROL!$C$22, $C$13, 100%, $E$13)</f>
        <v>19.251899999999999</v>
      </c>
      <c r="K988" s="64">
        <f>19.252 * CHOOSE(CONTROL!$C$22, $C$13, 100%, $E$13)</f>
        <v>19.251999999999999</v>
      </c>
    </row>
    <row r="989" spans="1:11" ht="15">
      <c r="A989" s="13">
        <v>71590</v>
      </c>
      <c r="B989" s="63">
        <f>17.1412 * CHOOSE(CONTROL!$C$22, $C$13, 100%, $E$13)</f>
        <v>17.141200000000001</v>
      </c>
      <c r="C989" s="63">
        <f>17.1412 * CHOOSE(CONTROL!$C$22, $C$13, 100%, $E$13)</f>
        <v>17.141200000000001</v>
      </c>
      <c r="D989" s="63">
        <f>17.1412 * CHOOSE(CONTROL!$C$22, $C$13, 100%, $E$13)</f>
        <v>17.141200000000001</v>
      </c>
      <c r="E989" s="64">
        <f>19.3244 * CHOOSE(CONTROL!$C$22, $C$13, 100%, $E$13)</f>
        <v>19.324400000000001</v>
      </c>
      <c r="F989" s="64">
        <f>19.3244 * CHOOSE(CONTROL!$C$22, $C$13, 100%, $E$13)</f>
        <v>19.324400000000001</v>
      </c>
      <c r="G989" s="64">
        <f>19.3245 * CHOOSE(CONTROL!$C$22, $C$13, 100%, $E$13)</f>
        <v>19.3245</v>
      </c>
      <c r="H989" s="64">
        <f>33.2384* CHOOSE(CONTROL!$C$22, $C$13, 100%, $E$13)</f>
        <v>33.238399999999999</v>
      </c>
      <c r="I989" s="64">
        <f>33.2385 * CHOOSE(CONTROL!$C$22, $C$13, 100%, $E$13)</f>
        <v>33.238500000000002</v>
      </c>
      <c r="J989" s="64">
        <f>19.3244 * CHOOSE(CONTROL!$C$22, $C$13, 100%, $E$13)</f>
        <v>19.324400000000001</v>
      </c>
      <c r="K989" s="64">
        <f>19.3245 * CHOOSE(CONTROL!$C$22, $C$13, 100%, $E$13)</f>
        <v>19.3245</v>
      </c>
    </row>
    <row r="990" spans="1:11" ht="15">
      <c r="A990" s="13">
        <v>71621</v>
      </c>
      <c r="B990" s="63">
        <f>17.1381 * CHOOSE(CONTROL!$C$22, $C$13, 100%, $E$13)</f>
        <v>17.138100000000001</v>
      </c>
      <c r="C990" s="63">
        <f>17.1381 * CHOOSE(CONTROL!$C$22, $C$13, 100%, $E$13)</f>
        <v>17.138100000000001</v>
      </c>
      <c r="D990" s="63">
        <f>17.1381 * CHOOSE(CONTROL!$C$22, $C$13, 100%, $E$13)</f>
        <v>17.138100000000001</v>
      </c>
      <c r="E990" s="64">
        <f>18.9735 * CHOOSE(CONTROL!$C$22, $C$13, 100%, $E$13)</f>
        <v>18.973500000000001</v>
      </c>
      <c r="F990" s="64">
        <f>18.9735 * CHOOSE(CONTROL!$C$22, $C$13, 100%, $E$13)</f>
        <v>18.973500000000001</v>
      </c>
      <c r="G990" s="64">
        <f>18.9735 * CHOOSE(CONTROL!$C$22, $C$13, 100%, $E$13)</f>
        <v>18.973500000000001</v>
      </c>
      <c r="H990" s="64">
        <f>33.3076* CHOOSE(CONTROL!$C$22, $C$13, 100%, $E$13)</f>
        <v>33.307600000000001</v>
      </c>
      <c r="I990" s="64">
        <f>33.3077 * CHOOSE(CONTROL!$C$22, $C$13, 100%, $E$13)</f>
        <v>33.307699999999997</v>
      </c>
      <c r="J990" s="64">
        <f>18.9735 * CHOOSE(CONTROL!$C$22, $C$13, 100%, $E$13)</f>
        <v>18.973500000000001</v>
      </c>
      <c r="K990" s="64">
        <f>18.9735 * CHOOSE(CONTROL!$C$22, $C$13, 100%, $E$13)</f>
        <v>18.973500000000001</v>
      </c>
    </row>
    <row r="991" spans="1:11" ht="15">
      <c r="A991" s="13">
        <v>71650</v>
      </c>
      <c r="B991" s="63">
        <f>17.1351 * CHOOSE(CONTROL!$C$22, $C$13, 100%, $E$13)</f>
        <v>17.135100000000001</v>
      </c>
      <c r="C991" s="63">
        <f>17.1351 * CHOOSE(CONTROL!$C$22, $C$13, 100%, $E$13)</f>
        <v>17.135100000000001</v>
      </c>
      <c r="D991" s="63">
        <f>17.1351 * CHOOSE(CONTROL!$C$22, $C$13, 100%, $E$13)</f>
        <v>17.135100000000001</v>
      </c>
      <c r="E991" s="64">
        <f>19.2463 * CHOOSE(CONTROL!$C$22, $C$13, 100%, $E$13)</f>
        <v>19.246300000000002</v>
      </c>
      <c r="F991" s="64">
        <f>19.2463 * CHOOSE(CONTROL!$C$22, $C$13, 100%, $E$13)</f>
        <v>19.246300000000002</v>
      </c>
      <c r="G991" s="64">
        <f>19.2464 * CHOOSE(CONTROL!$C$22, $C$13, 100%, $E$13)</f>
        <v>19.246400000000001</v>
      </c>
      <c r="H991" s="64">
        <f>33.377* CHOOSE(CONTROL!$C$22, $C$13, 100%, $E$13)</f>
        <v>33.377000000000002</v>
      </c>
      <c r="I991" s="64">
        <f>33.3771 * CHOOSE(CONTROL!$C$22, $C$13, 100%, $E$13)</f>
        <v>33.377099999999999</v>
      </c>
      <c r="J991" s="64">
        <f>19.2463 * CHOOSE(CONTROL!$C$22, $C$13, 100%, $E$13)</f>
        <v>19.246300000000002</v>
      </c>
      <c r="K991" s="64">
        <f>19.2464 * CHOOSE(CONTROL!$C$22, $C$13, 100%, $E$13)</f>
        <v>19.246400000000001</v>
      </c>
    </row>
    <row r="992" spans="1:11" ht="15">
      <c r="A992" s="13">
        <v>71681</v>
      </c>
      <c r="B992" s="63">
        <f>17.1437 * CHOOSE(CONTROL!$C$22, $C$13, 100%, $E$13)</f>
        <v>17.143699999999999</v>
      </c>
      <c r="C992" s="63">
        <f>17.1437 * CHOOSE(CONTROL!$C$22, $C$13, 100%, $E$13)</f>
        <v>17.143699999999999</v>
      </c>
      <c r="D992" s="63">
        <f>17.1437 * CHOOSE(CONTROL!$C$22, $C$13, 100%, $E$13)</f>
        <v>17.143699999999999</v>
      </c>
      <c r="E992" s="64">
        <f>19.5374 * CHOOSE(CONTROL!$C$22, $C$13, 100%, $E$13)</f>
        <v>19.537400000000002</v>
      </c>
      <c r="F992" s="64">
        <f>19.5374 * CHOOSE(CONTROL!$C$22, $C$13, 100%, $E$13)</f>
        <v>19.537400000000002</v>
      </c>
      <c r="G992" s="64">
        <f>19.5375 * CHOOSE(CONTROL!$C$22, $C$13, 100%, $E$13)</f>
        <v>19.537500000000001</v>
      </c>
      <c r="H992" s="64">
        <f>33.4466* CHOOSE(CONTROL!$C$22, $C$13, 100%, $E$13)</f>
        <v>33.446599999999997</v>
      </c>
      <c r="I992" s="64">
        <f>33.4466 * CHOOSE(CONTROL!$C$22, $C$13, 100%, $E$13)</f>
        <v>33.446599999999997</v>
      </c>
      <c r="J992" s="64">
        <f>19.5374 * CHOOSE(CONTROL!$C$22, $C$13, 100%, $E$13)</f>
        <v>19.537400000000002</v>
      </c>
      <c r="K992" s="64">
        <f>19.5375 * CHOOSE(CONTROL!$C$22, $C$13, 100%, $E$13)</f>
        <v>19.537500000000001</v>
      </c>
    </row>
    <row r="993" spans="1:11" ht="15">
      <c r="A993" s="13">
        <v>71711</v>
      </c>
      <c r="B993" s="63">
        <f>17.1437 * CHOOSE(CONTROL!$C$22, $C$13, 100%, $E$13)</f>
        <v>17.143699999999999</v>
      </c>
      <c r="C993" s="63">
        <f>17.1437 * CHOOSE(CONTROL!$C$22, $C$13, 100%, $E$13)</f>
        <v>17.143699999999999</v>
      </c>
      <c r="D993" s="63">
        <f>17.1518 * CHOOSE(CONTROL!$C$22, $C$13, 100%, $E$13)</f>
        <v>17.151800000000001</v>
      </c>
      <c r="E993" s="64">
        <f>19.6481 * CHOOSE(CONTROL!$C$22, $C$13, 100%, $E$13)</f>
        <v>19.648099999999999</v>
      </c>
      <c r="F993" s="64">
        <f>19.6481 * CHOOSE(CONTROL!$C$22, $C$13, 100%, $E$13)</f>
        <v>19.648099999999999</v>
      </c>
      <c r="G993" s="64">
        <f>19.658 * CHOOSE(CONTROL!$C$22, $C$13, 100%, $E$13)</f>
        <v>19.658000000000001</v>
      </c>
      <c r="H993" s="64">
        <f>33.5162* CHOOSE(CONTROL!$C$22, $C$13, 100%, $E$13)</f>
        <v>33.516199999999998</v>
      </c>
      <c r="I993" s="64">
        <f>33.5261 * CHOOSE(CONTROL!$C$22, $C$13, 100%, $E$13)</f>
        <v>33.5261</v>
      </c>
      <c r="J993" s="64">
        <f>19.6481 * CHOOSE(CONTROL!$C$22, $C$13, 100%, $E$13)</f>
        <v>19.648099999999999</v>
      </c>
      <c r="K993" s="64">
        <f>19.658 * CHOOSE(CONTROL!$C$22, $C$13, 100%, $E$13)</f>
        <v>19.658000000000001</v>
      </c>
    </row>
    <row r="994" spans="1:11" ht="15">
      <c r="A994" s="13">
        <v>71742</v>
      </c>
      <c r="B994" s="63">
        <f>17.1498 * CHOOSE(CONTROL!$C$22, $C$13, 100%, $E$13)</f>
        <v>17.149799999999999</v>
      </c>
      <c r="C994" s="63">
        <f>17.1498 * CHOOSE(CONTROL!$C$22, $C$13, 100%, $E$13)</f>
        <v>17.149799999999999</v>
      </c>
      <c r="D994" s="63">
        <f>17.1579 * CHOOSE(CONTROL!$C$22, $C$13, 100%, $E$13)</f>
        <v>17.157900000000001</v>
      </c>
      <c r="E994" s="64">
        <f>19.5416 * CHOOSE(CONTROL!$C$22, $C$13, 100%, $E$13)</f>
        <v>19.541599999999999</v>
      </c>
      <c r="F994" s="64">
        <f>19.5416 * CHOOSE(CONTROL!$C$22, $C$13, 100%, $E$13)</f>
        <v>19.541599999999999</v>
      </c>
      <c r="G994" s="64">
        <f>19.5514 * CHOOSE(CONTROL!$C$22, $C$13, 100%, $E$13)</f>
        <v>19.551400000000001</v>
      </c>
      <c r="H994" s="64">
        <f>33.5861* CHOOSE(CONTROL!$C$22, $C$13, 100%, $E$13)</f>
        <v>33.586100000000002</v>
      </c>
      <c r="I994" s="64">
        <f>33.5959 * CHOOSE(CONTROL!$C$22, $C$13, 100%, $E$13)</f>
        <v>33.5959</v>
      </c>
      <c r="J994" s="64">
        <f>19.5416 * CHOOSE(CONTROL!$C$22, $C$13, 100%, $E$13)</f>
        <v>19.541599999999999</v>
      </c>
      <c r="K994" s="64">
        <f>19.5514 * CHOOSE(CONTROL!$C$22, $C$13, 100%, $E$13)</f>
        <v>19.551400000000001</v>
      </c>
    </row>
    <row r="995" spans="1:11" ht="15">
      <c r="A995" s="13">
        <v>71772</v>
      </c>
      <c r="B995" s="63">
        <f>17.4078 * CHOOSE(CONTROL!$C$22, $C$13, 100%, $E$13)</f>
        <v>17.407800000000002</v>
      </c>
      <c r="C995" s="63">
        <f>17.4078 * CHOOSE(CONTROL!$C$22, $C$13, 100%, $E$13)</f>
        <v>17.407800000000002</v>
      </c>
      <c r="D995" s="63">
        <f>17.4159 * CHOOSE(CONTROL!$C$22, $C$13, 100%, $E$13)</f>
        <v>17.415900000000001</v>
      </c>
      <c r="E995" s="64">
        <f>19.8499 * CHOOSE(CONTROL!$C$22, $C$13, 100%, $E$13)</f>
        <v>19.849900000000002</v>
      </c>
      <c r="F995" s="64">
        <f>19.8499 * CHOOSE(CONTROL!$C$22, $C$13, 100%, $E$13)</f>
        <v>19.849900000000002</v>
      </c>
      <c r="G995" s="64">
        <f>19.8598 * CHOOSE(CONTROL!$C$22, $C$13, 100%, $E$13)</f>
        <v>19.8598</v>
      </c>
      <c r="H995" s="64">
        <f>33.656* CHOOSE(CONTROL!$C$22, $C$13, 100%, $E$13)</f>
        <v>33.655999999999999</v>
      </c>
      <c r="I995" s="64">
        <f>33.6659 * CHOOSE(CONTROL!$C$22, $C$13, 100%, $E$13)</f>
        <v>33.665900000000001</v>
      </c>
      <c r="J995" s="64">
        <f>19.8499 * CHOOSE(CONTROL!$C$22, $C$13, 100%, $E$13)</f>
        <v>19.849900000000002</v>
      </c>
      <c r="K995" s="64">
        <f>19.8598 * CHOOSE(CONTROL!$C$22, $C$13, 100%, $E$13)</f>
        <v>19.8598</v>
      </c>
    </row>
    <row r="996" spans="1:11" ht="15">
      <c r="A996" s="13">
        <v>71803</v>
      </c>
      <c r="B996" s="63">
        <f>17.4144 * CHOOSE(CONTROL!$C$22, $C$13, 100%, $E$13)</f>
        <v>17.414400000000001</v>
      </c>
      <c r="C996" s="63">
        <f>17.4144 * CHOOSE(CONTROL!$C$22, $C$13, 100%, $E$13)</f>
        <v>17.414400000000001</v>
      </c>
      <c r="D996" s="63">
        <f>17.4226 * CHOOSE(CONTROL!$C$22, $C$13, 100%, $E$13)</f>
        <v>17.422599999999999</v>
      </c>
      <c r="E996" s="64">
        <f>19.5224 * CHOOSE(CONTROL!$C$22, $C$13, 100%, $E$13)</f>
        <v>19.522400000000001</v>
      </c>
      <c r="F996" s="64">
        <f>19.5224 * CHOOSE(CONTROL!$C$22, $C$13, 100%, $E$13)</f>
        <v>19.522400000000001</v>
      </c>
      <c r="G996" s="64">
        <f>19.5322 * CHOOSE(CONTROL!$C$22, $C$13, 100%, $E$13)</f>
        <v>19.5322</v>
      </c>
      <c r="H996" s="64">
        <f>33.7262* CHOOSE(CONTROL!$C$22, $C$13, 100%, $E$13)</f>
        <v>33.726199999999999</v>
      </c>
      <c r="I996" s="64">
        <f>33.736 * CHOOSE(CONTROL!$C$22, $C$13, 100%, $E$13)</f>
        <v>33.735999999999997</v>
      </c>
      <c r="J996" s="64">
        <f>19.5224 * CHOOSE(CONTROL!$C$22, $C$13, 100%, $E$13)</f>
        <v>19.522400000000001</v>
      </c>
      <c r="K996" s="64">
        <f>19.5322 * CHOOSE(CONTROL!$C$22, $C$13, 100%, $E$13)</f>
        <v>19.5322</v>
      </c>
    </row>
    <row r="997" spans="1:11" ht="15">
      <c r="A997" s="13">
        <v>71834</v>
      </c>
      <c r="B997" s="63">
        <f>17.4114 * CHOOSE(CONTROL!$C$22, $C$13, 100%, $E$13)</f>
        <v>17.4114</v>
      </c>
      <c r="C997" s="63">
        <f>17.4114 * CHOOSE(CONTROL!$C$22, $C$13, 100%, $E$13)</f>
        <v>17.4114</v>
      </c>
      <c r="D997" s="63">
        <f>17.4195 * CHOOSE(CONTROL!$C$22, $C$13, 100%, $E$13)</f>
        <v>17.419499999999999</v>
      </c>
      <c r="E997" s="64">
        <f>19.4834 * CHOOSE(CONTROL!$C$22, $C$13, 100%, $E$13)</f>
        <v>19.4834</v>
      </c>
      <c r="F997" s="64">
        <f>19.4834 * CHOOSE(CONTROL!$C$22, $C$13, 100%, $E$13)</f>
        <v>19.4834</v>
      </c>
      <c r="G997" s="64">
        <f>19.4932 * CHOOSE(CONTROL!$C$22, $C$13, 100%, $E$13)</f>
        <v>19.493200000000002</v>
      </c>
      <c r="H997" s="64">
        <f>33.7964* CHOOSE(CONTROL!$C$22, $C$13, 100%, $E$13)</f>
        <v>33.796399999999998</v>
      </c>
      <c r="I997" s="64">
        <f>33.8062 * CHOOSE(CONTROL!$C$22, $C$13, 100%, $E$13)</f>
        <v>33.806199999999997</v>
      </c>
      <c r="J997" s="64">
        <f>19.4834 * CHOOSE(CONTROL!$C$22, $C$13, 100%, $E$13)</f>
        <v>19.4834</v>
      </c>
      <c r="K997" s="64">
        <f>19.4932 * CHOOSE(CONTROL!$C$22, $C$13, 100%, $E$13)</f>
        <v>19.493200000000002</v>
      </c>
    </row>
    <row r="998" spans="1:11" ht="15">
      <c r="A998" s="13">
        <v>71864</v>
      </c>
      <c r="B998" s="63">
        <f>17.4495 * CHOOSE(CONTROL!$C$22, $C$13, 100%, $E$13)</f>
        <v>17.4495</v>
      </c>
      <c r="C998" s="63">
        <f>17.4495 * CHOOSE(CONTROL!$C$22, $C$13, 100%, $E$13)</f>
        <v>17.4495</v>
      </c>
      <c r="D998" s="63">
        <f>17.4495 * CHOOSE(CONTROL!$C$22, $C$13, 100%, $E$13)</f>
        <v>17.4495</v>
      </c>
      <c r="E998" s="64">
        <f>19.6176 * CHOOSE(CONTROL!$C$22, $C$13, 100%, $E$13)</f>
        <v>19.617599999999999</v>
      </c>
      <c r="F998" s="64">
        <f>19.6176 * CHOOSE(CONTROL!$C$22, $C$13, 100%, $E$13)</f>
        <v>19.617599999999999</v>
      </c>
      <c r="G998" s="64">
        <f>19.6177 * CHOOSE(CONTROL!$C$22, $C$13, 100%, $E$13)</f>
        <v>19.617699999999999</v>
      </c>
      <c r="H998" s="64">
        <f>33.8668* CHOOSE(CONTROL!$C$22, $C$13, 100%, $E$13)</f>
        <v>33.866799999999998</v>
      </c>
      <c r="I998" s="64">
        <f>33.8669 * CHOOSE(CONTROL!$C$22, $C$13, 100%, $E$13)</f>
        <v>33.866900000000001</v>
      </c>
      <c r="J998" s="64">
        <f>19.6176 * CHOOSE(CONTROL!$C$22, $C$13, 100%, $E$13)</f>
        <v>19.617599999999999</v>
      </c>
      <c r="K998" s="64">
        <f>19.6177 * CHOOSE(CONTROL!$C$22, $C$13, 100%, $E$13)</f>
        <v>19.617699999999999</v>
      </c>
    </row>
    <row r="999" spans="1:11" ht="15">
      <c r="A999" s="13">
        <v>71895</v>
      </c>
      <c r="B999" s="63">
        <f>17.4526 * CHOOSE(CONTROL!$C$22, $C$13, 100%, $E$13)</f>
        <v>17.4526</v>
      </c>
      <c r="C999" s="63">
        <f>17.4526 * CHOOSE(CONTROL!$C$22, $C$13, 100%, $E$13)</f>
        <v>17.4526</v>
      </c>
      <c r="D999" s="63">
        <f>17.4526 * CHOOSE(CONTROL!$C$22, $C$13, 100%, $E$13)</f>
        <v>17.4526</v>
      </c>
      <c r="E999" s="64">
        <f>19.6935 * CHOOSE(CONTROL!$C$22, $C$13, 100%, $E$13)</f>
        <v>19.6935</v>
      </c>
      <c r="F999" s="64">
        <f>19.6935 * CHOOSE(CONTROL!$C$22, $C$13, 100%, $E$13)</f>
        <v>19.6935</v>
      </c>
      <c r="G999" s="64">
        <f>19.6936 * CHOOSE(CONTROL!$C$22, $C$13, 100%, $E$13)</f>
        <v>19.6936</v>
      </c>
      <c r="H999" s="64">
        <f>33.9374* CHOOSE(CONTROL!$C$22, $C$13, 100%, $E$13)</f>
        <v>33.937399999999997</v>
      </c>
      <c r="I999" s="64">
        <f>33.9375 * CHOOSE(CONTROL!$C$22, $C$13, 100%, $E$13)</f>
        <v>33.9375</v>
      </c>
      <c r="J999" s="64">
        <f>19.6935 * CHOOSE(CONTROL!$C$22, $C$13, 100%, $E$13)</f>
        <v>19.6935</v>
      </c>
      <c r="K999" s="64">
        <f>19.6936 * CHOOSE(CONTROL!$C$22, $C$13, 100%, $E$13)</f>
        <v>19.6936</v>
      </c>
    </row>
    <row r="1000" spans="1:11" ht="15">
      <c r="A1000" s="13">
        <v>71925</v>
      </c>
      <c r="B1000" s="63">
        <f>17.4526 * CHOOSE(CONTROL!$C$22, $C$13, 100%, $E$13)</f>
        <v>17.4526</v>
      </c>
      <c r="C1000" s="63">
        <f>17.4526 * CHOOSE(CONTROL!$C$22, $C$13, 100%, $E$13)</f>
        <v>17.4526</v>
      </c>
      <c r="D1000" s="63">
        <f>17.4526 * CHOOSE(CONTROL!$C$22, $C$13, 100%, $E$13)</f>
        <v>17.4526</v>
      </c>
      <c r="E1000" s="64">
        <f>19.509 * CHOOSE(CONTROL!$C$22, $C$13, 100%, $E$13)</f>
        <v>19.509</v>
      </c>
      <c r="F1000" s="64">
        <f>19.509 * CHOOSE(CONTROL!$C$22, $C$13, 100%, $E$13)</f>
        <v>19.509</v>
      </c>
      <c r="G1000" s="64">
        <f>19.5091 * CHOOSE(CONTROL!$C$22, $C$13, 100%, $E$13)</f>
        <v>19.5091</v>
      </c>
      <c r="H1000" s="64">
        <f>34.0081* CHOOSE(CONTROL!$C$22, $C$13, 100%, $E$13)</f>
        <v>34.008099999999999</v>
      </c>
      <c r="I1000" s="64">
        <f>34.0082 * CHOOSE(CONTROL!$C$22, $C$13, 100%, $E$13)</f>
        <v>34.008200000000002</v>
      </c>
      <c r="J1000" s="64">
        <f>19.509 * CHOOSE(CONTROL!$C$22, $C$13, 100%, $E$13)</f>
        <v>19.509</v>
      </c>
      <c r="K1000" s="64">
        <f>19.5091 * CHOOSE(CONTROL!$C$22, $C$13, 100%, $E$13)</f>
        <v>19.5091</v>
      </c>
    </row>
    <row r="1001" spans="1:11" ht="15">
      <c r="A1001" s="13">
        <v>71956</v>
      </c>
      <c r="B1001" s="63">
        <f>17.3767 * CHOOSE(CONTROL!$C$22, $C$13, 100%, $E$13)</f>
        <v>17.3767</v>
      </c>
      <c r="C1001" s="63">
        <f>17.3767 * CHOOSE(CONTROL!$C$22, $C$13, 100%, $E$13)</f>
        <v>17.3767</v>
      </c>
      <c r="D1001" s="63">
        <f>17.3767 * CHOOSE(CONTROL!$C$22, $C$13, 100%, $E$13)</f>
        <v>17.3767</v>
      </c>
      <c r="E1001" s="64">
        <f>19.5791 * CHOOSE(CONTROL!$C$22, $C$13, 100%, $E$13)</f>
        <v>19.5791</v>
      </c>
      <c r="F1001" s="64">
        <f>19.5791 * CHOOSE(CONTROL!$C$22, $C$13, 100%, $E$13)</f>
        <v>19.5791</v>
      </c>
      <c r="G1001" s="64">
        <f>19.5792 * CHOOSE(CONTROL!$C$22, $C$13, 100%, $E$13)</f>
        <v>19.5792</v>
      </c>
      <c r="H1001" s="64">
        <f>33.6843* CHOOSE(CONTROL!$C$22, $C$13, 100%, $E$13)</f>
        <v>33.6843</v>
      </c>
      <c r="I1001" s="64">
        <f>33.6844 * CHOOSE(CONTROL!$C$22, $C$13, 100%, $E$13)</f>
        <v>33.684399999999997</v>
      </c>
      <c r="J1001" s="64">
        <f>19.5791 * CHOOSE(CONTROL!$C$22, $C$13, 100%, $E$13)</f>
        <v>19.5791</v>
      </c>
      <c r="K1001" s="64">
        <f>19.5792 * CHOOSE(CONTROL!$C$22, $C$13, 100%, $E$13)</f>
        <v>19.5792</v>
      </c>
    </row>
    <row r="1002" spans="1:11" ht="15">
      <c r="A1002" s="13">
        <v>71987</v>
      </c>
      <c r="B1002" s="63">
        <f>17.3737 * CHOOSE(CONTROL!$C$22, $C$13, 100%, $E$13)</f>
        <v>17.373699999999999</v>
      </c>
      <c r="C1002" s="63">
        <f>17.3737 * CHOOSE(CONTROL!$C$22, $C$13, 100%, $E$13)</f>
        <v>17.373699999999999</v>
      </c>
      <c r="D1002" s="63">
        <f>17.3737 * CHOOSE(CONTROL!$C$22, $C$13, 100%, $E$13)</f>
        <v>17.373699999999999</v>
      </c>
      <c r="E1002" s="64">
        <f>19.2233 * CHOOSE(CONTROL!$C$22, $C$13, 100%, $E$13)</f>
        <v>19.223299999999998</v>
      </c>
      <c r="F1002" s="64">
        <f>19.2233 * CHOOSE(CONTROL!$C$22, $C$13, 100%, $E$13)</f>
        <v>19.223299999999998</v>
      </c>
      <c r="G1002" s="64">
        <f>19.2233 * CHOOSE(CONTROL!$C$22, $C$13, 100%, $E$13)</f>
        <v>19.223299999999998</v>
      </c>
      <c r="H1002" s="64">
        <f>33.7545* CHOOSE(CONTROL!$C$22, $C$13, 100%, $E$13)</f>
        <v>33.7545</v>
      </c>
      <c r="I1002" s="64">
        <f>33.7545 * CHOOSE(CONTROL!$C$22, $C$13, 100%, $E$13)</f>
        <v>33.7545</v>
      </c>
      <c r="J1002" s="64">
        <f>19.2233 * CHOOSE(CONTROL!$C$22, $C$13, 100%, $E$13)</f>
        <v>19.223299999999998</v>
      </c>
      <c r="K1002" s="64">
        <f>19.2233 * CHOOSE(CONTROL!$C$22, $C$13, 100%, $E$13)</f>
        <v>19.223299999999998</v>
      </c>
    </row>
    <row r="1003" spans="1:11" ht="15">
      <c r="A1003" s="13">
        <v>72015</v>
      </c>
      <c r="B1003" s="63">
        <f>17.3706 * CHOOSE(CONTROL!$C$22, $C$13, 100%, $E$13)</f>
        <v>17.3706</v>
      </c>
      <c r="C1003" s="63">
        <f>17.3706 * CHOOSE(CONTROL!$C$22, $C$13, 100%, $E$13)</f>
        <v>17.3706</v>
      </c>
      <c r="D1003" s="63">
        <f>17.3707 * CHOOSE(CONTROL!$C$22, $C$13, 100%, $E$13)</f>
        <v>17.370699999999999</v>
      </c>
      <c r="E1003" s="64">
        <f>19.5 * CHOOSE(CONTROL!$C$22, $C$13, 100%, $E$13)</f>
        <v>19.5</v>
      </c>
      <c r="F1003" s="64">
        <f>19.5 * CHOOSE(CONTROL!$C$22, $C$13, 100%, $E$13)</f>
        <v>19.5</v>
      </c>
      <c r="G1003" s="64">
        <f>19.5001 * CHOOSE(CONTROL!$C$22, $C$13, 100%, $E$13)</f>
        <v>19.5001</v>
      </c>
      <c r="H1003" s="64">
        <f>33.8248* CHOOSE(CONTROL!$C$22, $C$13, 100%, $E$13)</f>
        <v>33.824800000000003</v>
      </c>
      <c r="I1003" s="64">
        <f>33.8249 * CHOOSE(CONTROL!$C$22, $C$13, 100%, $E$13)</f>
        <v>33.8249</v>
      </c>
      <c r="J1003" s="64">
        <f>19.5 * CHOOSE(CONTROL!$C$22, $C$13, 100%, $E$13)</f>
        <v>19.5</v>
      </c>
      <c r="K1003" s="64">
        <f>19.5001 * CHOOSE(CONTROL!$C$22, $C$13, 100%, $E$13)</f>
        <v>19.5001</v>
      </c>
    </row>
    <row r="1004" spans="1:11" ht="15">
      <c r="A1004" s="13">
        <v>72046</v>
      </c>
      <c r="B1004" s="63">
        <f>17.3795 * CHOOSE(CONTROL!$C$22, $C$13, 100%, $E$13)</f>
        <v>17.3795</v>
      </c>
      <c r="C1004" s="63">
        <f>17.3795 * CHOOSE(CONTROL!$C$22, $C$13, 100%, $E$13)</f>
        <v>17.3795</v>
      </c>
      <c r="D1004" s="63">
        <f>17.3795 * CHOOSE(CONTROL!$C$22, $C$13, 100%, $E$13)</f>
        <v>17.3795</v>
      </c>
      <c r="E1004" s="64">
        <f>19.7952 * CHOOSE(CONTROL!$C$22, $C$13, 100%, $E$13)</f>
        <v>19.795200000000001</v>
      </c>
      <c r="F1004" s="64">
        <f>19.7952 * CHOOSE(CONTROL!$C$22, $C$13, 100%, $E$13)</f>
        <v>19.795200000000001</v>
      </c>
      <c r="G1004" s="64">
        <f>19.7953 * CHOOSE(CONTROL!$C$22, $C$13, 100%, $E$13)</f>
        <v>19.795300000000001</v>
      </c>
      <c r="H1004" s="64">
        <f>33.8952* CHOOSE(CONTROL!$C$22, $C$13, 100%, $E$13)</f>
        <v>33.895200000000003</v>
      </c>
      <c r="I1004" s="64">
        <f>33.8953 * CHOOSE(CONTROL!$C$22, $C$13, 100%, $E$13)</f>
        <v>33.895299999999999</v>
      </c>
      <c r="J1004" s="64">
        <f>19.7952 * CHOOSE(CONTROL!$C$22, $C$13, 100%, $E$13)</f>
        <v>19.795200000000001</v>
      </c>
      <c r="K1004" s="64">
        <f>19.7953 * CHOOSE(CONTROL!$C$22, $C$13, 100%, $E$13)</f>
        <v>19.795300000000001</v>
      </c>
    </row>
    <row r="1005" spans="1:11" ht="15">
      <c r="A1005" s="13">
        <v>72076</v>
      </c>
      <c r="B1005" s="63">
        <f>17.3795 * CHOOSE(CONTROL!$C$22, $C$13, 100%, $E$13)</f>
        <v>17.3795</v>
      </c>
      <c r="C1005" s="63">
        <f>17.3795 * CHOOSE(CONTROL!$C$22, $C$13, 100%, $E$13)</f>
        <v>17.3795</v>
      </c>
      <c r="D1005" s="63">
        <f>17.3876 * CHOOSE(CONTROL!$C$22, $C$13, 100%, $E$13)</f>
        <v>17.387599999999999</v>
      </c>
      <c r="E1005" s="64">
        <f>19.9075 * CHOOSE(CONTROL!$C$22, $C$13, 100%, $E$13)</f>
        <v>19.907499999999999</v>
      </c>
      <c r="F1005" s="64">
        <f>19.9075 * CHOOSE(CONTROL!$C$22, $C$13, 100%, $E$13)</f>
        <v>19.907499999999999</v>
      </c>
      <c r="G1005" s="64">
        <f>19.9174 * CHOOSE(CONTROL!$C$22, $C$13, 100%, $E$13)</f>
        <v>19.917400000000001</v>
      </c>
      <c r="H1005" s="64">
        <f>33.9659* CHOOSE(CONTROL!$C$22, $C$13, 100%, $E$13)</f>
        <v>33.965899999999998</v>
      </c>
      <c r="I1005" s="64">
        <f>33.9757 * CHOOSE(CONTROL!$C$22, $C$13, 100%, $E$13)</f>
        <v>33.975700000000003</v>
      </c>
      <c r="J1005" s="64">
        <f>19.9075 * CHOOSE(CONTROL!$C$22, $C$13, 100%, $E$13)</f>
        <v>19.907499999999999</v>
      </c>
      <c r="K1005" s="64">
        <f>19.9174 * CHOOSE(CONTROL!$C$22, $C$13, 100%, $E$13)</f>
        <v>19.917400000000001</v>
      </c>
    </row>
    <row r="1006" spans="1:11" ht="15">
      <c r="A1006" s="13">
        <v>72107</v>
      </c>
      <c r="B1006" s="63">
        <f>17.3855 * CHOOSE(CONTROL!$C$22, $C$13, 100%, $E$13)</f>
        <v>17.3855</v>
      </c>
      <c r="C1006" s="63">
        <f>17.3855 * CHOOSE(CONTROL!$C$22, $C$13, 100%, $E$13)</f>
        <v>17.3855</v>
      </c>
      <c r="D1006" s="63">
        <f>17.3937 * CHOOSE(CONTROL!$C$22, $C$13, 100%, $E$13)</f>
        <v>17.393699999999999</v>
      </c>
      <c r="E1006" s="64">
        <f>19.7995 * CHOOSE(CONTROL!$C$22, $C$13, 100%, $E$13)</f>
        <v>19.799499999999998</v>
      </c>
      <c r="F1006" s="64">
        <f>19.7995 * CHOOSE(CONTROL!$C$22, $C$13, 100%, $E$13)</f>
        <v>19.799499999999998</v>
      </c>
      <c r="G1006" s="64">
        <f>19.8093 * CHOOSE(CONTROL!$C$22, $C$13, 100%, $E$13)</f>
        <v>19.8093</v>
      </c>
      <c r="H1006" s="64">
        <f>34.0366* CHOOSE(CONTROL!$C$22, $C$13, 100%, $E$13)</f>
        <v>34.0366</v>
      </c>
      <c r="I1006" s="64">
        <f>34.0465 * CHOOSE(CONTROL!$C$22, $C$13, 100%, $E$13)</f>
        <v>34.046500000000002</v>
      </c>
      <c r="J1006" s="64">
        <f>19.7995 * CHOOSE(CONTROL!$C$22, $C$13, 100%, $E$13)</f>
        <v>19.799499999999998</v>
      </c>
      <c r="K1006" s="64">
        <f>19.8093 * CHOOSE(CONTROL!$C$22, $C$13, 100%, $E$13)</f>
        <v>19.8093</v>
      </c>
    </row>
    <row r="1007" spans="1:11" ht="15">
      <c r="A1007" s="13">
        <v>72137</v>
      </c>
      <c r="B1007" s="63">
        <f>17.6469 * CHOOSE(CONTROL!$C$22, $C$13, 100%, $E$13)</f>
        <v>17.646899999999999</v>
      </c>
      <c r="C1007" s="63">
        <f>17.6469 * CHOOSE(CONTROL!$C$22, $C$13, 100%, $E$13)</f>
        <v>17.646899999999999</v>
      </c>
      <c r="D1007" s="63">
        <f>17.655 * CHOOSE(CONTROL!$C$22, $C$13, 100%, $E$13)</f>
        <v>17.655000000000001</v>
      </c>
      <c r="E1007" s="64">
        <f>20.1117 * CHOOSE(CONTROL!$C$22, $C$13, 100%, $E$13)</f>
        <v>20.111699999999999</v>
      </c>
      <c r="F1007" s="64">
        <f>20.1117 * CHOOSE(CONTROL!$C$22, $C$13, 100%, $E$13)</f>
        <v>20.111699999999999</v>
      </c>
      <c r="G1007" s="64">
        <f>20.1215 * CHOOSE(CONTROL!$C$22, $C$13, 100%, $E$13)</f>
        <v>20.121500000000001</v>
      </c>
      <c r="H1007" s="64">
        <f>34.1075* CHOOSE(CONTROL!$C$22, $C$13, 100%, $E$13)</f>
        <v>34.107500000000002</v>
      </c>
      <c r="I1007" s="64">
        <f>34.1174 * CHOOSE(CONTROL!$C$22, $C$13, 100%, $E$13)</f>
        <v>34.117400000000004</v>
      </c>
      <c r="J1007" s="64">
        <f>20.1117 * CHOOSE(CONTROL!$C$22, $C$13, 100%, $E$13)</f>
        <v>20.111699999999999</v>
      </c>
      <c r="K1007" s="64">
        <f>20.1215 * CHOOSE(CONTROL!$C$22, $C$13, 100%, $E$13)</f>
        <v>20.121500000000001</v>
      </c>
    </row>
    <row r="1008" spans="1:11" ht="15">
      <c r="A1008" s="13">
        <v>72168</v>
      </c>
      <c r="B1008" s="63">
        <f>17.6536 * CHOOSE(CONTROL!$C$22, $C$13, 100%, $E$13)</f>
        <v>17.653600000000001</v>
      </c>
      <c r="C1008" s="63">
        <f>17.6536 * CHOOSE(CONTROL!$C$22, $C$13, 100%, $E$13)</f>
        <v>17.653600000000001</v>
      </c>
      <c r="D1008" s="63">
        <f>17.6617 * CHOOSE(CONTROL!$C$22, $C$13, 100%, $E$13)</f>
        <v>17.6617</v>
      </c>
      <c r="E1008" s="64">
        <f>19.7795 * CHOOSE(CONTROL!$C$22, $C$13, 100%, $E$13)</f>
        <v>19.779499999999999</v>
      </c>
      <c r="F1008" s="64">
        <f>19.7795 * CHOOSE(CONTROL!$C$22, $C$13, 100%, $E$13)</f>
        <v>19.779499999999999</v>
      </c>
      <c r="G1008" s="64">
        <f>19.7893 * CHOOSE(CONTROL!$C$22, $C$13, 100%, $E$13)</f>
        <v>19.789300000000001</v>
      </c>
      <c r="H1008" s="64">
        <f>34.1786* CHOOSE(CONTROL!$C$22, $C$13, 100%, $E$13)</f>
        <v>34.178600000000003</v>
      </c>
      <c r="I1008" s="64">
        <f>34.1884 * CHOOSE(CONTROL!$C$22, $C$13, 100%, $E$13)</f>
        <v>34.188400000000001</v>
      </c>
      <c r="J1008" s="64">
        <f>19.7795 * CHOOSE(CONTROL!$C$22, $C$13, 100%, $E$13)</f>
        <v>19.779499999999999</v>
      </c>
      <c r="K1008" s="64">
        <f>19.7893 * CHOOSE(CONTROL!$C$22, $C$13, 100%, $E$13)</f>
        <v>19.789300000000001</v>
      </c>
    </row>
    <row r="1009" spans="1:11" ht="15">
      <c r="A1009" s="13">
        <v>72199</v>
      </c>
      <c r="B1009" s="63">
        <f>17.6506 * CHOOSE(CONTROL!$C$22, $C$13, 100%, $E$13)</f>
        <v>17.650600000000001</v>
      </c>
      <c r="C1009" s="63">
        <f>17.6506 * CHOOSE(CONTROL!$C$22, $C$13, 100%, $E$13)</f>
        <v>17.650600000000001</v>
      </c>
      <c r="D1009" s="63">
        <f>17.6587 * CHOOSE(CONTROL!$C$22, $C$13, 100%, $E$13)</f>
        <v>17.6587</v>
      </c>
      <c r="E1009" s="64">
        <f>19.7399 * CHOOSE(CONTROL!$C$22, $C$13, 100%, $E$13)</f>
        <v>19.739899999999999</v>
      </c>
      <c r="F1009" s="64">
        <f>19.7399 * CHOOSE(CONTROL!$C$22, $C$13, 100%, $E$13)</f>
        <v>19.739899999999999</v>
      </c>
      <c r="G1009" s="64">
        <f>19.7497 * CHOOSE(CONTROL!$C$22, $C$13, 100%, $E$13)</f>
        <v>19.749700000000001</v>
      </c>
      <c r="H1009" s="64">
        <f>34.2498* CHOOSE(CONTROL!$C$22, $C$13, 100%, $E$13)</f>
        <v>34.2498</v>
      </c>
      <c r="I1009" s="64">
        <f>34.2596 * CHOOSE(CONTROL!$C$22, $C$13, 100%, $E$13)</f>
        <v>34.259599999999999</v>
      </c>
      <c r="J1009" s="64">
        <f>19.7399 * CHOOSE(CONTROL!$C$22, $C$13, 100%, $E$13)</f>
        <v>19.739899999999999</v>
      </c>
      <c r="K1009" s="64">
        <f>19.7497 * CHOOSE(CONTROL!$C$22, $C$13, 100%, $E$13)</f>
        <v>19.749700000000001</v>
      </c>
    </row>
    <row r="1010" spans="1:11" ht="15">
      <c r="A1010" s="13">
        <v>72229</v>
      </c>
      <c r="B1010" s="63">
        <f>17.6895 * CHOOSE(CONTROL!$C$22, $C$13, 100%, $E$13)</f>
        <v>17.689499999999999</v>
      </c>
      <c r="C1010" s="63">
        <f>17.6895 * CHOOSE(CONTROL!$C$22, $C$13, 100%, $E$13)</f>
        <v>17.689499999999999</v>
      </c>
      <c r="D1010" s="63">
        <f>17.6895 * CHOOSE(CONTROL!$C$22, $C$13, 100%, $E$13)</f>
        <v>17.689499999999999</v>
      </c>
      <c r="E1010" s="64">
        <f>19.8762 * CHOOSE(CONTROL!$C$22, $C$13, 100%, $E$13)</f>
        <v>19.876200000000001</v>
      </c>
      <c r="F1010" s="64">
        <f>19.8762 * CHOOSE(CONTROL!$C$22, $C$13, 100%, $E$13)</f>
        <v>19.876200000000001</v>
      </c>
      <c r="G1010" s="64">
        <f>19.8763 * CHOOSE(CONTROL!$C$22, $C$13, 100%, $E$13)</f>
        <v>19.876300000000001</v>
      </c>
      <c r="H1010" s="64">
        <f>34.3211* CHOOSE(CONTROL!$C$22, $C$13, 100%, $E$13)</f>
        <v>34.321100000000001</v>
      </c>
      <c r="I1010" s="64">
        <f>34.3212 * CHOOSE(CONTROL!$C$22, $C$13, 100%, $E$13)</f>
        <v>34.321199999999997</v>
      </c>
      <c r="J1010" s="64">
        <f>19.8762 * CHOOSE(CONTROL!$C$22, $C$13, 100%, $E$13)</f>
        <v>19.876200000000001</v>
      </c>
      <c r="K1010" s="64">
        <f>19.8763 * CHOOSE(CONTROL!$C$22, $C$13, 100%, $E$13)</f>
        <v>19.876300000000001</v>
      </c>
    </row>
    <row r="1011" spans="1:11" ht="15">
      <c r="A1011" s="13">
        <v>72260</v>
      </c>
      <c r="B1011" s="63">
        <f>17.6925 * CHOOSE(CONTROL!$C$22, $C$13, 100%, $E$13)</f>
        <v>17.692499999999999</v>
      </c>
      <c r="C1011" s="63">
        <f>17.6925 * CHOOSE(CONTROL!$C$22, $C$13, 100%, $E$13)</f>
        <v>17.692499999999999</v>
      </c>
      <c r="D1011" s="63">
        <f>17.6925 * CHOOSE(CONTROL!$C$22, $C$13, 100%, $E$13)</f>
        <v>17.692499999999999</v>
      </c>
      <c r="E1011" s="64">
        <f>19.9532 * CHOOSE(CONTROL!$C$22, $C$13, 100%, $E$13)</f>
        <v>19.953199999999999</v>
      </c>
      <c r="F1011" s="64">
        <f>19.9532 * CHOOSE(CONTROL!$C$22, $C$13, 100%, $E$13)</f>
        <v>19.953199999999999</v>
      </c>
      <c r="G1011" s="64">
        <f>19.9533 * CHOOSE(CONTROL!$C$22, $C$13, 100%, $E$13)</f>
        <v>19.953299999999999</v>
      </c>
      <c r="H1011" s="64">
        <f>34.3927* CHOOSE(CONTROL!$C$22, $C$13, 100%, $E$13)</f>
        <v>34.392699999999998</v>
      </c>
      <c r="I1011" s="64">
        <f>34.3927 * CHOOSE(CONTROL!$C$22, $C$13, 100%, $E$13)</f>
        <v>34.392699999999998</v>
      </c>
      <c r="J1011" s="64">
        <f>19.9532 * CHOOSE(CONTROL!$C$22, $C$13, 100%, $E$13)</f>
        <v>19.953199999999999</v>
      </c>
      <c r="K1011" s="64">
        <f>19.9533 * CHOOSE(CONTROL!$C$22, $C$13, 100%, $E$13)</f>
        <v>19.953299999999999</v>
      </c>
    </row>
    <row r="1012" spans="1:11" ht="15">
      <c r="A1012" s="13">
        <v>72290</v>
      </c>
      <c r="B1012" s="63">
        <f>17.6925 * CHOOSE(CONTROL!$C$22, $C$13, 100%, $E$13)</f>
        <v>17.692499999999999</v>
      </c>
      <c r="C1012" s="63">
        <f>17.6925 * CHOOSE(CONTROL!$C$22, $C$13, 100%, $E$13)</f>
        <v>17.692499999999999</v>
      </c>
      <c r="D1012" s="63">
        <f>17.6925 * CHOOSE(CONTROL!$C$22, $C$13, 100%, $E$13)</f>
        <v>17.692499999999999</v>
      </c>
      <c r="E1012" s="64">
        <f>19.766 * CHOOSE(CONTROL!$C$22, $C$13, 100%, $E$13)</f>
        <v>19.765999999999998</v>
      </c>
      <c r="F1012" s="64">
        <f>19.766 * CHOOSE(CONTROL!$C$22, $C$13, 100%, $E$13)</f>
        <v>19.765999999999998</v>
      </c>
      <c r="G1012" s="64">
        <f>19.7661 * CHOOSE(CONTROL!$C$22, $C$13, 100%, $E$13)</f>
        <v>19.766100000000002</v>
      </c>
      <c r="H1012" s="64">
        <f>34.4643* CHOOSE(CONTROL!$C$22, $C$13, 100%, $E$13)</f>
        <v>34.464300000000001</v>
      </c>
      <c r="I1012" s="64">
        <f>34.4644 * CHOOSE(CONTROL!$C$22, $C$13, 100%, $E$13)</f>
        <v>34.464399999999998</v>
      </c>
      <c r="J1012" s="64">
        <f>19.766 * CHOOSE(CONTROL!$C$22, $C$13, 100%, $E$13)</f>
        <v>19.765999999999998</v>
      </c>
      <c r="K1012" s="64">
        <f>19.7661 * CHOOSE(CONTROL!$C$22, $C$13, 100%, $E$13)</f>
        <v>19.766100000000002</v>
      </c>
    </row>
    <row r="1013" spans="1:11" ht="15">
      <c r="A1013" s="13">
        <v>72321</v>
      </c>
      <c r="B1013" s="63">
        <f>17.6123 * CHOOSE(CONTROL!$C$22, $C$13, 100%, $E$13)</f>
        <v>17.612300000000001</v>
      </c>
      <c r="C1013" s="63">
        <f>17.6123 * CHOOSE(CONTROL!$C$22, $C$13, 100%, $E$13)</f>
        <v>17.612300000000001</v>
      </c>
      <c r="D1013" s="63">
        <f>17.6123 * CHOOSE(CONTROL!$C$22, $C$13, 100%, $E$13)</f>
        <v>17.612300000000001</v>
      </c>
      <c r="E1013" s="64">
        <f>19.8338 * CHOOSE(CONTROL!$C$22, $C$13, 100%, $E$13)</f>
        <v>19.8338</v>
      </c>
      <c r="F1013" s="64">
        <f>19.8338 * CHOOSE(CONTROL!$C$22, $C$13, 100%, $E$13)</f>
        <v>19.8338</v>
      </c>
      <c r="G1013" s="64">
        <f>19.8339 * CHOOSE(CONTROL!$C$22, $C$13, 100%, $E$13)</f>
        <v>19.8339</v>
      </c>
      <c r="H1013" s="64">
        <f>34.1302* CHOOSE(CONTROL!$C$22, $C$13, 100%, $E$13)</f>
        <v>34.130200000000002</v>
      </c>
      <c r="I1013" s="64">
        <f>34.1303 * CHOOSE(CONTROL!$C$22, $C$13, 100%, $E$13)</f>
        <v>34.130299999999998</v>
      </c>
      <c r="J1013" s="64">
        <f>19.8338 * CHOOSE(CONTROL!$C$22, $C$13, 100%, $E$13)</f>
        <v>19.8338</v>
      </c>
      <c r="K1013" s="64">
        <f>19.8339 * CHOOSE(CONTROL!$C$22, $C$13, 100%, $E$13)</f>
        <v>19.8339</v>
      </c>
    </row>
    <row r="1014" spans="1:11" ht="15">
      <c r="A1014" s="13">
        <v>72352</v>
      </c>
      <c r="B1014" s="63">
        <f>17.6093 * CHOOSE(CONTROL!$C$22, $C$13, 100%, $E$13)</f>
        <v>17.609300000000001</v>
      </c>
      <c r="C1014" s="63">
        <f>17.6093 * CHOOSE(CONTROL!$C$22, $C$13, 100%, $E$13)</f>
        <v>17.609300000000001</v>
      </c>
      <c r="D1014" s="63">
        <f>17.6093 * CHOOSE(CONTROL!$C$22, $C$13, 100%, $E$13)</f>
        <v>17.609300000000001</v>
      </c>
      <c r="E1014" s="64">
        <f>19.473 * CHOOSE(CONTROL!$C$22, $C$13, 100%, $E$13)</f>
        <v>19.472999999999999</v>
      </c>
      <c r="F1014" s="64">
        <f>19.473 * CHOOSE(CONTROL!$C$22, $C$13, 100%, $E$13)</f>
        <v>19.472999999999999</v>
      </c>
      <c r="G1014" s="64">
        <f>19.4731 * CHOOSE(CONTROL!$C$22, $C$13, 100%, $E$13)</f>
        <v>19.473099999999999</v>
      </c>
      <c r="H1014" s="64">
        <f>34.2013* CHOOSE(CONTROL!$C$22, $C$13, 100%, $E$13)</f>
        <v>34.201300000000003</v>
      </c>
      <c r="I1014" s="64">
        <f>34.2014 * CHOOSE(CONTROL!$C$22, $C$13, 100%, $E$13)</f>
        <v>34.2014</v>
      </c>
      <c r="J1014" s="64">
        <f>19.473 * CHOOSE(CONTROL!$C$22, $C$13, 100%, $E$13)</f>
        <v>19.472999999999999</v>
      </c>
      <c r="K1014" s="64">
        <f>19.4731 * CHOOSE(CONTROL!$C$22, $C$13, 100%, $E$13)</f>
        <v>19.473099999999999</v>
      </c>
    </row>
    <row r="1015" spans="1:11" ht="15">
      <c r="A1015" s="13">
        <v>72380</v>
      </c>
      <c r="B1015" s="63">
        <f>17.6062 * CHOOSE(CONTROL!$C$22, $C$13, 100%, $E$13)</f>
        <v>17.606200000000001</v>
      </c>
      <c r="C1015" s="63">
        <f>17.6062 * CHOOSE(CONTROL!$C$22, $C$13, 100%, $E$13)</f>
        <v>17.606200000000001</v>
      </c>
      <c r="D1015" s="63">
        <f>17.6062 * CHOOSE(CONTROL!$C$22, $C$13, 100%, $E$13)</f>
        <v>17.606200000000001</v>
      </c>
      <c r="E1015" s="64">
        <f>19.7537 * CHOOSE(CONTROL!$C$22, $C$13, 100%, $E$13)</f>
        <v>19.753699999999998</v>
      </c>
      <c r="F1015" s="64">
        <f>19.7537 * CHOOSE(CONTROL!$C$22, $C$13, 100%, $E$13)</f>
        <v>19.753699999999998</v>
      </c>
      <c r="G1015" s="64">
        <f>19.7538 * CHOOSE(CONTROL!$C$22, $C$13, 100%, $E$13)</f>
        <v>19.753799999999998</v>
      </c>
      <c r="H1015" s="64">
        <f>34.2725* CHOOSE(CONTROL!$C$22, $C$13, 100%, $E$13)</f>
        <v>34.272500000000001</v>
      </c>
      <c r="I1015" s="64">
        <f>34.2726 * CHOOSE(CONTROL!$C$22, $C$13, 100%, $E$13)</f>
        <v>34.272599999999997</v>
      </c>
      <c r="J1015" s="64">
        <f>19.7537 * CHOOSE(CONTROL!$C$22, $C$13, 100%, $E$13)</f>
        <v>19.753699999999998</v>
      </c>
      <c r="K1015" s="64">
        <f>19.7538 * CHOOSE(CONTROL!$C$22, $C$13, 100%, $E$13)</f>
        <v>19.753799999999998</v>
      </c>
    </row>
    <row r="1016" spans="1:11" ht="15">
      <c r="A1016" s="13">
        <v>72411</v>
      </c>
      <c r="B1016" s="63">
        <f>17.6152 * CHOOSE(CONTROL!$C$22, $C$13, 100%, $E$13)</f>
        <v>17.615200000000002</v>
      </c>
      <c r="C1016" s="63">
        <f>17.6152 * CHOOSE(CONTROL!$C$22, $C$13, 100%, $E$13)</f>
        <v>17.615200000000002</v>
      </c>
      <c r="D1016" s="63">
        <f>17.6152 * CHOOSE(CONTROL!$C$22, $C$13, 100%, $E$13)</f>
        <v>17.615200000000002</v>
      </c>
      <c r="E1016" s="64">
        <f>20.0531 * CHOOSE(CONTROL!$C$22, $C$13, 100%, $E$13)</f>
        <v>20.053100000000001</v>
      </c>
      <c r="F1016" s="64">
        <f>20.0531 * CHOOSE(CONTROL!$C$22, $C$13, 100%, $E$13)</f>
        <v>20.053100000000001</v>
      </c>
      <c r="G1016" s="64">
        <f>20.0532 * CHOOSE(CONTROL!$C$22, $C$13, 100%, $E$13)</f>
        <v>20.0532</v>
      </c>
      <c r="H1016" s="64">
        <f>34.3439* CHOOSE(CONTROL!$C$22, $C$13, 100%, $E$13)</f>
        <v>34.343899999999998</v>
      </c>
      <c r="I1016" s="64">
        <f>34.344 * CHOOSE(CONTROL!$C$22, $C$13, 100%, $E$13)</f>
        <v>34.344000000000001</v>
      </c>
      <c r="J1016" s="64">
        <f>20.0531 * CHOOSE(CONTROL!$C$22, $C$13, 100%, $E$13)</f>
        <v>20.053100000000001</v>
      </c>
      <c r="K1016" s="64">
        <f>20.0532 * CHOOSE(CONTROL!$C$22, $C$13, 100%, $E$13)</f>
        <v>20.0532</v>
      </c>
    </row>
    <row r="1017" spans="1:11" ht="15">
      <c r="A1017" s="13">
        <v>72441</v>
      </c>
      <c r="B1017" s="63">
        <f>17.6152 * CHOOSE(CONTROL!$C$22, $C$13, 100%, $E$13)</f>
        <v>17.615200000000002</v>
      </c>
      <c r="C1017" s="63">
        <f>17.6152 * CHOOSE(CONTROL!$C$22, $C$13, 100%, $E$13)</f>
        <v>17.615200000000002</v>
      </c>
      <c r="D1017" s="63">
        <f>17.6233 * CHOOSE(CONTROL!$C$22, $C$13, 100%, $E$13)</f>
        <v>17.6233</v>
      </c>
      <c r="E1017" s="64">
        <f>20.167 * CHOOSE(CONTROL!$C$22, $C$13, 100%, $E$13)</f>
        <v>20.167000000000002</v>
      </c>
      <c r="F1017" s="64">
        <f>20.167 * CHOOSE(CONTROL!$C$22, $C$13, 100%, $E$13)</f>
        <v>20.167000000000002</v>
      </c>
      <c r="G1017" s="64">
        <f>20.1768 * CHOOSE(CONTROL!$C$22, $C$13, 100%, $E$13)</f>
        <v>20.1768</v>
      </c>
      <c r="H1017" s="64">
        <f>34.4155* CHOOSE(CONTROL!$C$22, $C$13, 100%, $E$13)</f>
        <v>34.415500000000002</v>
      </c>
      <c r="I1017" s="64">
        <f>34.4253 * CHOOSE(CONTROL!$C$22, $C$13, 100%, $E$13)</f>
        <v>34.4253</v>
      </c>
      <c r="J1017" s="64">
        <f>20.167 * CHOOSE(CONTROL!$C$22, $C$13, 100%, $E$13)</f>
        <v>20.167000000000002</v>
      </c>
      <c r="K1017" s="64">
        <f>20.1768 * CHOOSE(CONTROL!$C$22, $C$13, 100%, $E$13)</f>
        <v>20.1768</v>
      </c>
    </row>
    <row r="1018" spans="1:11" ht="15">
      <c r="A1018" s="13">
        <v>72472</v>
      </c>
      <c r="B1018" s="63">
        <f>17.6213 * CHOOSE(CONTROL!$C$22, $C$13, 100%, $E$13)</f>
        <v>17.621300000000002</v>
      </c>
      <c r="C1018" s="63">
        <f>17.6213 * CHOOSE(CONTROL!$C$22, $C$13, 100%, $E$13)</f>
        <v>17.621300000000002</v>
      </c>
      <c r="D1018" s="63">
        <f>17.6294 * CHOOSE(CONTROL!$C$22, $C$13, 100%, $E$13)</f>
        <v>17.6294</v>
      </c>
      <c r="E1018" s="64">
        <f>20.0573 * CHOOSE(CONTROL!$C$22, $C$13, 100%, $E$13)</f>
        <v>20.057300000000001</v>
      </c>
      <c r="F1018" s="64">
        <f>20.0573 * CHOOSE(CONTROL!$C$22, $C$13, 100%, $E$13)</f>
        <v>20.057300000000001</v>
      </c>
      <c r="G1018" s="64">
        <f>20.0672 * CHOOSE(CONTROL!$C$22, $C$13, 100%, $E$13)</f>
        <v>20.0672</v>
      </c>
      <c r="H1018" s="64">
        <f>34.4872* CHOOSE(CONTROL!$C$22, $C$13, 100%, $E$13)</f>
        <v>34.487200000000001</v>
      </c>
      <c r="I1018" s="64">
        <f>34.497 * CHOOSE(CONTROL!$C$22, $C$13, 100%, $E$13)</f>
        <v>34.497</v>
      </c>
      <c r="J1018" s="64">
        <f>20.0573 * CHOOSE(CONTROL!$C$22, $C$13, 100%, $E$13)</f>
        <v>20.057300000000001</v>
      </c>
      <c r="K1018" s="64">
        <f>20.0672 * CHOOSE(CONTROL!$C$22, $C$13, 100%, $E$13)</f>
        <v>20.0672</v>
      </c>
    </row>
    <row r="1019" spans="1:11" ht="15">
      <c r="A1019" s="13">
        <v>72502</v>
      </c>
      <c r="B1019" s="63">
        <f>17.8861 * CHOOSE(CONTROL!$C$22, $C$13, 100%, $E$13)</f>
        <v>17.886099999999999</v>
      </c>
      <c r="C1019" s="63">
        <f>17.8861 * CHOOSE(CONTROL!$C$22, $C$13, 100%, $E$13)</f>
        <v>17.886099999999999</v>
      </c>
      <c r="D1019" s="63">
        <f>17.8942 * CHOOSE(CONTROL!$C$22, $C$13, 100%, $E$13)</f>
        <v>17.894200000000001</v>
      </c>
      <c r="E1019" s="64">
        <f>20.3735 * CHOOSE(CONTROL!$C$22, $C$13, 100%, $E$13)</f>
        <v>20.3735</v>
      </c>
      <c r="F1019" s="64">
        <f>20.3735 * CHOOSE(CONTROL!$C$22, $C$13, 100%, $E$13)</f>
        <v>20.3735</v>
      </c>
      <c r="G1019" s="64">
        <f>20.3833 * CHOOSE(CONTROL!$C$22, $C$13, 100%, $E$13)</f>
        <v>20.383299999999998</v>
      </c>
      <c r="H1019" s="64">
        <f>34.559* CHOOSE(CONTROL!$C$22, $C$13, 100%, $E$13)</f>
        <v>34.558999999999997</v>
      </c>
      <c r="I1019" s="64">
        <f>34.5689 * CHOOSE(CONTROL!$C$22, $C$13, 100%, $E$13)</f>
        <v>34.568899999999999</v>
      </c>
      <c r="J1019" s="64">
        <f>20.3735 * CHOOSE(CONTROL!$C$22, $C$13, 100%, $E$13)</f>
        <v>20.3735</v>
      </c>
      <c r="K1019" s="64">
        <f>20.3833 * CHOOSE(CONTROL!$C$22, $C$13, 100%, $E$13)</f>
        <v>20.383299999999998</v>
      </c>
    </row>
    <row r="1020" spans="1:11" ht="15">
      <c r="A1020" s="13">
        <v>72533</v>
      </c>
      <c r="B1020" s="63">
        <f>17.8928 * CHOOSE(CONTROL!$C$22, $C$13, 100%, $E$13)</f>
        <v>17.892800000000001</v>
      </c>
      <c r="C1020" s="63">
        <f>17.8928 * CHOOSE(CONTROL!$C$22, $C$13, 100%, $E$13)</f>
        <v>17.892800000000001</v>
      </c>
      <c r="D1020" s="63">
        <f>17.9009 * CHOOSE(CONTROL!$C$22, $C$13, 100%, $E$13)</f>
        <v>17.9009</v>
      </c>
      <c r="E1020" s="64">
        <f>20.0365 * CHOOSE(CONTROL!$C$22, $C$13, 100%, $E$13)</f>
        <v>20.0365</v>
      </c>
      <c r="F1020" s="64">
        <f>20.0365 * CHOOSE(CONTROL!$C$22, $C$13, 100%, $E$13)</f>
        <v>20.0365</v>
      </c>
      <c r="G1020" s="64">
        <f>20.0464 * CHOOSE(CONTROL!$C$22, $C$13, 100%, $E$13)</f>
        <v>20.046399999999998</v>
      </c>
      <c r="H1020" s="64">
        <f>34.631* CHOOSE(CONTROL!$C$22, $C$13, 100%, $E$13)</f>
        <v>34.631</v>
      </c>
      <c r="I1020" s="64">
        <f>34.6409 * CHOOSE(CONTROL!$C$22, $C$13, 100%, $E$13)</f>
        <v>34.640900000000002</v>
      </c>
      <c r="J1020" s="64">
        <f>20.0365 * CHOOSE(CONTROL!$C$22, $C$13, 100%, $E$13)</f>
        <v>20.0365</v>
      </c>
      <c r="K1020" s="64">
        <f>20.0464 * CHOOSE(CONTROL!$C$22, $C$13, 100%, $E$13)</f>
        <v>20.046399999999998</v>
      </c>
    </row>
    <row r="1021" spans="1:11" ht="15">
      <c r="A1021" s="13">
        <v>72564</v>
      </c>
      <c r="B1021" s="63">
        <f>17.8898 * CHOOSE(CONTROL!$C$22, $C$13, 100%, $E$13)</f>
        <v>17.889800000000001</v>
      </c>
      <c r="C1021" s="63">
        <f>17.8898 * CHOOSE(CONTROL!$C$22, $C$13, 100%, $E$13)</f>
        <v>17.889800000000001</v>
      </c>
      <c r="D1021" s="63">
        <f>17.8979 * CHOOSE(CONTROL!$C$22, $C$13, 100%, $E$13)</f>
        <v>17.8979</v>
      </c>
      <c r="E1021" s="64">
        <f>19.9965 * CHOOSE(CONTROL!$C$22, $C$13, 100%, $E$13)</f>
        <v>19.996500000000001</v>
      </c>
      <c r="F1021" s="64">
        <f>19.9965 * CHOOSE(CONTROL!$C$22, $C$13, 100%, $E$13)</f>
        <v>19.996500000000001</v>
      </c>
      <c r="G1021" s="64">
        <f>20.0063 * CHOOSE(CONTROL!$C$22, $C$13, 100%, $E$13)</f>
        <v>20.0063</v>
      </c>
      <c r="H1021" s="64">
        <f>34.7032* CHOOSE(CONTROL!$C$22, $C$13, 100%, $E$13)</f>
        <v>34.703200000000002</v>
      </c>
      <c r="I1021" s="64">
        <f>34.713 * CHOOSE(CONTROL!$C$22, $C$13, 100%, $E$13)</f>
        <v>34.713000000000001</v>
      </c>
      <c r="J1021" s="64">
        <f>19.9965 * CHOOSE(CONTROL!$C$22, $C$13, 100%, $E$13)</f>
        <v>19.996500000000001</v>
      </c>
      <c r="K1021" s="64">
        <f>20.0063 * CHOOSE(CONTROL!$C$22, $C$13, 100%, $E$13)</f>
        <v>20.0063</v>
      </c>
    </row>
    <row r="1022" spans="1:11" ht="15">
      <c r="A1022" s="13">
        <v>72594</v>
      </c>
      <c r="B1022" s="63">
        <f>17.9294 * CHOOSE(CONTROL!$C$22, $C$13, 100%, $E$13)</f>
        <v>17.929400000000001</v>
      </c>
      <c r="C1022" s="63">
        <f>17.9294 * CHOOSE(CONTROL!$C$22, $C$13, 100%, $E$13)</f>
        <v>17.929400000000001</v>
      </c>
      <c r="D1022" s="63">
        <f>17.9294 * CHOOSE(CONTROL!$C$22, $C$13, 100%, $E$13)</f>
        <v>17.929400000000001</v>
      </c>
      <c r="E1022" s="64">
        <f>20.1349 * CHOOSE(CONTROL!$C$22, $C$13, 100%, $E$13)</f>
        <v>20.134899999999998</v>
      </c>
      <c r="F1022" s="64">
        <f>20.1349 * CHOOSE(CONTROL!$C$22, $C$13, 100%, $E$13)</f>
        <v>20.134899999999998</v>
      </c>
      <c r="G1022" s="64">
        <f>20.1349 * CHOOSE(CONTROL!$C$22, $C$13, 100%, $E$13)</f>
        <v>20.134899999999998</v>
      </c>
      <c r="H1022" s="64">
        <f>34.7755* CHOOSE(CONTROL!$C$22, $C$13, 100%, $E$13)</f>
        <v>34.775500000000001</v>
      </c>
      <c r="I1022" s="64">
        <f>34.7756 * CHOOSE(CONTROL!$C$22, $C$13, 100%, $E$13)</f>
        <v>34.775599999999997</v>
      </c>
      <c r="J1022" s="64">
        <f>20.1349 * CHOOSE(CONTROL!$C$22, $C$13, 100%, $E$13)</f>
        <v>20.134899999999998</v>
      </c>
      <c r="K1022" s="64">
        <f>20.1349 * CHOOSE(CONTROL!$C$22, $C$13, 100%, $E$13)</f>
        <v>20.134899999999998</v>
      </c>
    </row>
    <row r="1023" spans="1:11" ht="15">
      <c r="A1023" s="13">
        <v>72625</v>
      </c>
      <c r="B1023" s="63">
        <f>17.9324 * CHOOSE(CONTROL!$C$22, $C$13, 100%, $E$13)</f>
        <v>17.932400000000001</v>
      </c>
      <c r="C1023" s="63">
        <f>17.9324 * CHOOSE(CONTROL!$C$22, $C$13, 100%, $E$13)</f>
        <v>17.932400000000001</v>
      </c>
      <c r="D1023" s="63">
        <f>17.9324 * CHOOSE(CONTROL!$C$22, $C$13, 100%, $E$13)</f>
        <v>17.932400000000001</v>
      </c>
      <c r="E1023" s="64">
        <f>20.2129 * CHOOSE(CONTROL!$C$22, $C$13, 100%, $E$13)</f>
        <v>20.212900000000001</v>
      </c>
      <c r="F1023" s="64">
        <f>20.2129 * CHOOSE(CONTROL!$C$22, $C$13, 100%, $E$13)</f>
        <v>20.212900000000001</v>
      </c>
      <c r="G1023" s="64">
        <f>20.213 * CHOOSE(CONTROL!$C$22, $C$13, 100%, $E$13)</f>
        <v>20.213000000000001</v>
      </c>
      <c r="H1023" s="64">
        <f>34.8479* CHOOSE(CONTROL!$C$22, $C$13, 100%, $E$13)</f>
        <v>34.847900000000003</v>
      </c>
      <c r="I1023" s="64">
        <f>34.848 * CHOOSE(CONTROL!$C$22, $C$13, 100%, $E$13)</f>
        <v>34.847999999999999</v>
      </c>
      <c r="J1023" s="64">
        <f>20.2129 * CHOOSE(CONTROL!$C$22, $C$13, 100%, $E$13)</f>
        <v>20.212900000000001</v>
      </c>
      <c r="K1023" s="64">
        <f>20.213 * CHOOSE(CONTROL!$C$22, $C$13, 100%, $E$13)</f>
        <v>20.213000000000001</v>
      </c>
    </row>
    <row r="1024" spans="1:11" ht="15">
      <c r="A1024" s="13">
        <v>72655</v>
      </c>
      <c r="B1024" s="63">
        <f>17.9324 * CHOOSE(CONTROL!$C$22, $C$13, 100%, $E$13)</f>
        <v>17.932400000000001</v>
      </c>
      <c r="C1024" s="63">
        <f>17.9324 * CHOOSE(CONTROL!$C$22, $C$13, 100%, $E$13)</f>
        <v>17.932400000000001</v>
      </c>
      <c r="D1024" s="63">
        <f>17.9324 * CHOOSE(CONTROL!$C$22, $C$13, 100%, $E$13)</f>
        <v>17.932400000000001</v>
      </c>
      <c r="E1024" s="64">
        <f>20.0231 * CHOOSE(CONTROL!$C$22, $C$13, 100%, $E$13)</f>
        <v>20.023099999999999</v>
      </c>
      <c r="F1024" s="64">
        <f>20.0231 * CHOOSE(CONTROL!$C$22, $C$13, 100%, $E$13)</f>
        <v>20.023099999999999</v>
      </c>
      <c r="G1024" s="64">
        <f>20.0232 * CHOOSE(CONTROL!$C$22, $C$13, 100%, $E$13)</f>
        <v>20.023199999999999</v>
      </c>
      <c r="H1024" s="64">
        <f>34.9205* CHOOSE(CONTROL!$C$22, $C$13, 100%, $E$13)</f>
        <v>34.920499999999997</v>
      </c>
      <c r="I1024" s="64">
        <f>34.9206 * CHOOSE(CONTROL!$C$22, $C$13, 100%, $E$13)</f>
        <v>34.9206</v>
      </c>
      <c r="J1024" s="64">
        <f>20.0231 * CHOOSE(CONTROL!$C$22, $C$13, 100%, $E$13)</f>
        <v>20.023099999999999</v>
      </c>
      <c r="K1024" s="64">
        <f>20.0232 * CHOOSE(CONTROL!$C$22, $C$13, 100%, $E$13)</f>
        <v>20.023199999999999</v>
      </c>
    </row>
    <row r="1025" spans="1:11" ht="15">
      <c r="A1025" s="13">
        <v>72686</v>
      </c>
      <c r="B1025" s="63">
        <f>17.8479 * CHOOSE(CONTROL!$C$22, $C$13, 100%, $E$13)</f>
        <v>17.847899999999999</v>
      </c>
      <c r="C1025" s="63">
        <f>17.8479 * CHOOSE(CONTROL!$C$22, $C$13, 100%, $E$13)</f>
        <v>17.847899999999999</v>
      </c>
      <c r="D1025" s="63">
        <f>17.8479 * CHOOSE(CONTROL!$C$22, $C$13, 100%, $E$13)</f>
        <v>17.847899999999999</v>
      </c>
      <c r="E1025" s="64">
        <f>20.0886 * CHOOSE(CONTROL!$C$22, $C$13, 100%, $E$13)</f>
        <v>20.0886</v>
      </c>
      <c r="F1025" s="64">
        <f>20.0886 * CHOOSE(CONTROL!$C$22, $C$13, 100%, $E$13)</f>
        <v>20.0886</v>
      </c>
      <c r="G1025" s="64">
        <f>20.0886 * CHOOSE(CONTROL!$C$22, $C$13, 100%, $E$13)</f>
        <v>20.0886</v>
      </c>
      <c r="H1025" s="64">
        <f>34.5761* CHOOSE(CONTROL!$C$22, $C$13, 100%, $E$13)</f>
        <v>34.576099999999997</v>
      </c>
      <c r="I1025" s="64">
        <f>34.5761 * CHOOSE(CONTROL!$C$22, $C$13, 100%, $E$13)</f>
        <v>34.576099999999997</v>
      </c>
      <c r="J1025" s="64">
        <f>20.0886 * CHOOSE(CONTROL!$C$22, $C$13, 100%, $E$13)</f>
        <v>20.0886</v>
      </c>
      <c r="K1025" s="64">
        <f>20.0886 * CHOOSE(CONTROL!$C$22, $C$13, 100%, $E$13)</f>
        <v>20.0886</v>
      </c>
    </row>
    <row r="1026" spans="1:11" ht="15">
      <c r="A1026" s="13">
        <v>72717</v>
      </c>
      <c r="B1026" s="63">
        <f>17.8448 * CHOOSE(CONTROL!$C$22, $C$13, 100%, $E$13)</f>
        <v>17.844799999999999</v>
      </c>
      <c r="C1026" s="63">
        <f>17.8448 * CHOOSE(CONTROL!$C$22, $C$13, 100%, $E$13)</f>
        <v>17.844799999999999</v>
      </c>
      <c r="D1026" s="63">
        <f>17.8448 * CHOOSE(CONTROL!$C$22, $C$13, 100%, $E$13)</f>
        <v>17.844799999999999</v>
      </c>
      <c r="E1026" s="64">
        <f>19.7228 * CHOOSE(CONTROL!$C$22, $C$13, 100%, $E$13)</f>
        <v>19.722799999999999</v>
      </c>
      <c r="F1026" s="64">
        <f>19.7228 * CHOOSE(CONTROL!$C$22, $C$13, 100%, $E$13)</f>
        <v>19.722799999999999</v>
      </c>
      <c r="G1026" s="64">
        <f>19.7229 * CHOOSE(CONTROL!$C$22, $C$13, 100%, $E$13)</f>
        <v>19.722899999999999</v>
      </c>
      <c r="H1026" s="64">
        <f>34.6481* CHOOSE(CONTROL!$C$22, $C$13, 100%, $E$13)</f>
        <v>34.648099999999999</v>
      </c>
      <c r="I1026" s="64">
        <f>34.6482 * CHOOSE(CONTROL!$C$22, $C$13, 100%, $E$13)</f>
        <v>34.648200000000003</v>
      </c>
      <c r="J1026" s="64">
        <f>19.7228 * CHOOSE(CONTROL!$C$22, $C$13, 100%, $E$13)</f>
        <v>19.722799999999999</v>
      </c>
      <c r="K1026" s="64">
        <f>19.7229 * CHOOSE(CONTROL!$C$22, $C$13, 100%, $E$13)</f>
        <v>19.722899999999999</v>
      </c>
    </row>
    <row r="1027" spans="1:11" ht="15">
      <c r="A1027" s="13">
        <v>72745</v>
      </c>
      <c r="B1027" s="63">
        <f>17.8418 * CHOOSE(CONTROL!$C$22, $C$13, 100%, $E$13)</f>
        <v>17.841799999999999</v>
      </c>
      <c r="C1027" s="63">
        <f>17.8418 * CHOOSE(CONTROL!$C$22, $C$13, 100%, $E$13)</f>
        <v>17.841799999999999</v>
      </c>
      <c r="D1027" s="63">
        <f>17.8418 * CHOOSE(CONTROL!$C$22, $C$13, 100%, $E$13)</f>
        <v>17.841799999999999</v>
      </c>
      <c r="E1027" s="64">
        <f>20.0074 * CHOOSE(CONTROL!$C$22, $C$13, 100%, $E$13)</f>
        <v>20.007400000000001</v>
      </c>
      <c r="F1027" s="64">
        <f>20.0074 * CHOOSE(CONTROL!$C$22, $C$13, 100%, $E$13)</f>
        <v>20.007400000000001</v>
      </c>
      <c r="G1027" s="64">
        <f>20.0074 * CHOOSE(CONTROL!$C$22, $C$13, 100%, $E$13)</f>
        <v>20.007400000000001</v>
      </c>
      <c r="H1027" s="64">
        <f>34.7203* CHOOSE(CONTROL!$C$22, $C$13, 100%, $E$13)</f>
        <v>34.720300000000002</v>
      </c>
      <c r="I1027" s="64">
        <f>34.7204 * CHOOSE(CONTROL!$C$22, $C$13, 100%, $E$13)</f>
        <v>34.720399999999998</v>
      </c>
      <c r="J1027" s="64">
        <f>20.0074 * CHOOSE(CONTROL!$C$22, $C$13, 100%, $E$13)</f>
        <v>20.007400000000001</v>
      </c>
      <c r="K1027" s="64">
        <f>20.0074 * CHOOSE(CONTROL!$C$22, $C$13, 100%, $E$13)</f>
        <v>20.007400000000001</v>
      </c>
    </row>
    <row r="1028" spans="1:11" ht="15">
      <c r="A1028" s="13">
        <v>72776</v>
      </c>
      <c r="B1028" s="63">
        <f>17.851 * CHOOSE(CONTROL!$C$22, $C$13, 100%, $E$13)</f>
        <v>17.850999999999999</v>
      </c>
      <c r="C1028" s="63">
        <f>17.851 * CHOOSE(CONTROL!$C$22, $C$13, 100%, $E$13)</f>
        <v>17.850999999999999</v>
      </c>
      <c r="D1028" s="63">
        <f>17.851 * CHOOSE(CONTROL!$C$22, $C$13, 100%, $E$13)</f>
        <v>17.850999999999999</v>
      </c>
      <c r="E1028" s="64">
        <f>20.311 * CHOOSE(CONTROL!$C$22, $C$13, 100%, $E$13)</f>
        <v>20.311</v>
      </c>
      <c r="F1028" s="64">
        <f>20.311 * CHOOSE(CONTROL!$C$22, $C$13, 100%, $E$13)</f>
        <v>20.311</v>
      </c>
      <c r="G1028" s="64">
        <f>20.311 * CHOOSE(CONTROL!$C$22, $C$13, 100%, $E$13)</f>
        <v>20.311</v>
      </c>
      <c r="H1028" s="64">
        <f>34.7926* CHOOSE(CONTROL!$C$22, $C$13, 100%, $E$13)</f>
        <v>34.7926</v>
      </c>
      <c r="I1028" s="64">
        <f>34.7927 * CHOOSE(CONTROL!$C$22, $C$13, 100%, $E$13)</f>
        <v>34.792700000000004</v>
      </c>
      <c r="J1028" s="64">
        <f>20.311 * CHOOSE(CONTROL!$C$22, $C$13, 100%, $E$13)</f>
        <v>20.311</v>
      </c>
      <c r="K1028" s="64">
        <f>20.311 * CHOOSE(CONTROL!$C$22, $C$13, 100%, $E$13)</f>
        <v>20.311</v>
      </c>
    </row>
    <row r="1029" spans="1:11" ht="15">
      <c r="A1029" s="13">
        <v>72806</v>
      </c>
      <c r="B1029" s="63">
        <f>17.851 * CHOOSE(CONTROL!$C$22, $C$13, 100%, $E$13)</f>
        <v>17.850999999999999</v>
      </c>
      <c r="C1029" s="63">
        <f>17.851 * CHOOSE(CONTROL!$C$22, $C$13, 100%, $E$13)</f>
        <v>17.850999999999999</v>
      </c>
      <c r="D1029" s="63">
        <f>17.8591 * CHOOSE(CONTROL!$C$22, $C$13, 100%, $E$13)</f>
        <v>17.859100000000002</v>
      </c>
      <c r="E1029" s="64">
        <f>20.4264 * CHOOSE(CONTROL!$C$22, $C$13, 100%, $E$13)</f>
        <v>20.426400000000001</v>
      </c>
      <c r="F1029" s="64">
        <f>20.4264 * CHOOSE(CONTROL!$C$22, $C$13, 100%, $E$13)</f>
        <v>20.426400000000001</v>
      </c>
      <c r="G1029" s="64">
        <f>20.4362 * CHOOSE(CONTROL!$C$22, $C$13, 100%, $E$13)</f>
        <v>20.436199999999999</v>
      </c>
      <c r="H1029" s="64">
        <f>34.8651* CHOOSE(CONTROL!$C$22, $C$13, 100%, $E$13)</f>
        <v>34.865099999999998</v>
      </c>
      <c r="I1029" s="64">
        <f>34.8749 * CHOOSE(CONTROL!$C$22, $C$13, 100%, $E$13)</f>
        <v>34.874899999999997</v>
      </c>
      <c r="J1029" s="64">
        <f>20.4264 * CHOOSE(CONTROL!$C$22, $C$13, 100%, $E$13)</f>
        <v>20.426400000000001</v>
      </c>
      <c r="K1029" s="64">
        <f>20.4362 * CHOOSE(CONTROL!$C$22, $C$13, 100%, $E$13)</f>
        <v>20.436199999999999</v>
      </c>
    </row>
    <row r="1030" spans="1:11" ht="15">
      <c r="A1030" s="13">
        <v>72837</v>
      </c>
      <c r="B1030" s="63">
        <f>17.8571 * CHOOSE(CONTROL!$C$22, $C$13, 100%, $E$13)</f>
        <v>17.857099999999999</v>
      </c>
      <c r="C1030" s="63">
        <f>17.8571 * CHOOSE(CONTROL!$C$22, $C$13, 100%, $E$13)</f>
        <v>17.857099999999999</v>
      </c>
      <c r="D1030" s="63">
        <f>17.8652 * CHOOSE(CONTROL!$C$22, $C$13, 100%, $E$13)</f>
        <v>17.865200000000002</v>
      </c>
      <c r="E1030" s="64">
        <f>20.3152 * CHOOSE(CONTROL!$C$22, $C$13, 100%, $E$13)</f>
        <v>20.315200000000001</v>
      </c>
      <c r="F1030" s="64">
        <f>20.3152 * CHOOSE(CONTROL!$C$22, $C$13, 100%, $E$13)</f>
        <v>20.315200000000001</v>
      </c>
      <c r="G1030" s="64">
        <f>20.325 * CHOOSE(CONTROL!$C$22, $C$13, 100%, $E$13)</f>
        <v>20.324999999999999</v>
      </c>
      <c r="H1030" s="64">
        <f>34.9377* CHOOSE(CONTROL!$C$22, $C$13, 100%, $E$13)</f>
        <v>34.9377</v>
      </c>
      <c r="I1030" s="64">
        <f>34.9476 * CHOOSE(CONTROL!$C$22, $C$13, 100%, $E$13)</f>
        <v>34.947600000000001</v>
      </c>
      <c r="J1030" s="64">
        <f>20.3152 * CHOOSE(CONTROL!$C$22, $C$13, 100%, $E$13)</f>
        <v>20.315200000000001</v>
      </c>
      <c r="K1030" s="64">
        <f>20.325 * CHOOSE(CONTROL!$C$22, $C$13, 100%, $E$13)</f>
        <v>20.324999999999999</v>
      </c>
    </row>
    <row r="1031" spans="1:11" ht="15">
      <c r="A1031" s="13">
        <v>72867</v>
      </c>
      <c r="B1031" s="63">
        <f>18.1253 * CHOOSE(CONTROL!$C$22, $C$13, 100%, $E$13)</f>
        <v>18.125299999999999</v>
      </c>
      <c r="C1031" s="63">
        <f>18.1253 * CHOOSE(CONTROL!$C$22, $C$13, 100%, $E$13)</f>
        <v>18.125299999999999</v>
      </c>
      <c r="D1031" s="63">
        <f>18.1334 * CHOOSE(CONTROL!$C$22, $C$13, 100%, $E$13)</f>
        <v>18.133400000000002</v>
      </c>
      <c r="E1031" s="64">
        <f>20.6353 * CHOOSE(CONTROL!$C$22, $C$13, 100%, $E$13)</f>
        <v>20.635300000000001</v>
      </c>
      <c r="F1031" s="64">
        <f>20.6353 * CHOOSE(CONTROL!$C$22, $C$13, 100%, $E$13)</f>
        <v>20.635300000000001</v>
      </c>
      <c r="G1031" s="64">
        <f>20.6451 * CHOOSE(CONTROL!$C$22, $C$13, 100%, $E$13)</f>
        <v>20.645099999999999</v>
      </c>
      <c r="H1031" s="64">
        <f>35.0105* CHOOSE(CONTROL!$C$22, $C$13, 100%, $E$13)</f>
        <v>35.0105</v>
      </c>
      <c r="I1031" s="64">
        <f>35.0204 * CHOOSE(CONTROL!$C$22, $C$13, 100%, $E$13)</f>
        <v>35.020400000000002</v>
      </c>
      <c r="J1031" s="64">
        <f>20.6353 * CHOOSE(CONTROL!$C$22, $C$13, 100%, $E$13)</f>
        <v>20.635300000000001</v>
      </c>
      <c r="K1031" s="64">
        <f>20.6451 * CHOOSE(CONTROL!$C$22, $C$13, 100%, $E$13)</f>
        <v>20.645099999999999</v>
      </c>
    </row>
    <row r="1032" spans="1:11" ht="15">
      <c r="A1032" s="13">
        <v>72898</v>
      </c>
      <c r="B1032" s="63">
        <f>18.132 * CHOOSE(CONTROL!$C$22, $C$13, 100%, $E$13)</f>
        <v>18.132000000000001</v>
      </c>
      <c r="C1032" s="63">
        <f>18.132 * CHOOSE(CONTROL!$C$22, $C$13, 100%, $E$13)</f>
        <v>18.132000000000001</v>
      </c>
      <c r="D1032" s="63">
        <f>18.1401 * CHOOSE(CONTROL!$C$22, $C$13, 100%, $E$13)</f>
        <v>18.1401</v>
      </c>
      <c r="E1032" s="64">
        <f>20.2936 * CHOOSE(CONTROL!$C$22, $C$13, 100%, $E$13)</f>
        <v>20.293600000000001</v>
      </c>
      <c r="F1032" s="64">
        <f>20.2936 * CHOOSE(CONTROL!$C$22, $C$13, 100%, $E$13)</f>
        <v>20.293600000000001</v>
      </c>
      <c r="G1032" s="64">
        <f>20.3034 * CHOOSE(CONTROL!$C$22, $C$13, 100%, $E$13)</f>
        <v>20.3034</v>
      </c>
      <c r="H1032" s="64">
        <f>35.0835* CHOOSE(CONTROL!$C$22, $C$13, 100%, $E$13)</f>
        <v>35.083500000000001</v>
      </c>
      <c r="I1032" s="64">
        <f>35.0933 * CHOOSE(CONTROL!$C$22, $C$13, 100%, $E$13)</f>
        <v>35.093299999999999</v>
      </c>
      <c r="J1032" s="64">
        <f>20.2936 * CHOOSE(CONTROL!$C$22, $C$13, 100%, $E$13)</f>
        <v>20.293600000000001</v>
      </c>
      <c r="K1032" s="64">
        <f>20.3034 * CHOOSE(CONTROL!$C$22, $C$13, 100%, $E$13)</f>
        <v>20.3034</v>
      </c>
    </row>
    <row r="1033" spans="1:11" ht="15">
      <c r="A1033" s="13">
        <v>72929</v>
      </c>
      <c r="B1033" s="63">
        <f>18.1289 * CHOOSE(CONTROL!$C$22, $C$13, 100%, $E$13)</f>
        <v>18.128900000000002</v>
      </c>
      <c r="C1033" s="63">
        <f>18.1289 * CHOOSE(CONTROL!$C$22, $C$13, 100%, $E$13)</f>
        <v>18.128900000000002</v>
      </c>
      <c r="D1033" s="63">
        <f>18.137 * CHOOSE(CONTROL!$C$22, $C$13, 100%, $E$13)</f>
        <v>18.137</v>
      </c>
      <c r="E1033" s="64">
        <f>20.253 * CHOOSE(CONTROL!$C$22, $C$13, 100%, $E$13)</f>
        <v>20.253</v>
      </c>
      <c r="F1033" s="64">
        <f>20.253 * CHOOSE(CONTROL!$C$22, $C$13, 100%, $E$13)</f>
        <v>20.253</v>
      </c>
      <c r="G1033" s="64">
        <f>20.2628 * CHOOSE(CONTROL!$C$22, $C$13, 100%, $E$13)</f>
        <v>20.262799999999999</v>
      </c>
      <c r="H1033" s="64">
        <f>35.1565* CHOOSE(CONTROL!$C$22, $C$13, 100%, $E$13)</f>
        <v>35.156500000000001</v>
      </c>
      <c r="I1033" s="64">
        <f>35.1664 * CHOOSE(CONTROL!$C$22, $C$13, 100%, $E$13)</f>
        <v>35.166400000000003</v>
      </c>
      <c r="J1033" s="64">
        <f>20.253 * CHOOSE(CONTROL!$C$22, $C$13, 100%, $E$13)</f>
        <v>20.253</v>
      </c>
      <c r="K1033" s="64">
        <f>20.2628 * CHOOSE(CONTROL!$C$22, $C$13, 100%, $E$13)</f>
        <v>20.262799999999999</v>
      </c>
    </row>
    <row r="1034" spans="1:11" ht="15">
      <c r="A1034" s="13">
        <v>72959</v>
      </c>
      <c r="B1034" s="63">
        <f>18.1693 * CHOOSE(CONTROL!$C$22, $C$13, 100%, $E$13)</f>
        <v>18.1693</v>
      </c>
      <c r="C1034" s="63">
        <f>18.1693 * CHOOSE(CONTROL!$C$22, $C$13, 100%, $E$13)</f>
        <v>18.1693</v>
      </c>
      <c r="D1034" s="63">
        <f>18.1693 * CHOOSE(CONTROL!$C$22, $C$13, 100%, $E$13)</f>
        <v>18.1693</v>
      </c>
      <c r="E1034" s="64">
        <f>20.3935 * CHOOSE(CONTROL!$C$22, $C$13, 100%, $E$13)</f>
        <v>20.3935</v>
      </c>
      <c r="F1034" s="64">
        <f>20.3935 * CHOOSE(CONTROL!$C$22, $C$13, 100%, $E$13)</f>
        <v>20.3935</v>
      </c>
      <c r="G1034" s="64">
        <f>20.3936 * CHOOSE(CONTROL!$C$22, $C$13, 100%, $E$13)</f>
        <v>20.393599999999999</v>
      </c>
      <c r="H1034" s="64">
        <f>35.2298* CHOOSE(CONTROL!$C$22, $C$13, 100%, $E$13)</f>
        <v>35.229799999999997</v>
      </c>
      <c r="I1034" s="64">
        <f>35.2299 * CHOOSE(CONTROL!$C$22, $C$13, 100%, $E$13)</f>
        <v>35.229900000000001</v>
      </c>
      <c r="J1034" s="64">
        <f>20.3935 * CHOOSE(CONTROL!$C$22, $C$13, 100%, $E$13)</f>
        <v>20.3935</v>
      </c>
      <c r="K1034" s="64">
        <f>20.3936 * CHOOSE(CONTROL!$C$22, $C$13, 100%, $E$13)</f>
        <v>20.393599999999999</v>
      </c>
    </row>
    <row r="1035" spans="1:11" ht="15">
      <c r="A1035" s="13">
        <v>72990</v>
      </c>
      <c r="B1035" s="63">
        <f>18.1724 * CHOOSE(CONTROL!$C$22, $C$13, 100%, $E$13)</f>
        <v>18.1724</v>
      </c>
      <c r="C1035" s="63">
        <f>18.1724 * CHOOSE(CONTROL!$C$22, $C$13, 100%, $E$13)</f>
        <v>18.1724</v>
      </c>
      <c r="D1035" s="63">
        <f>18.1724 * CHOOSE(CONTROL!$C$22, $C$13, 100%, $E$13)</f>
        <v>18.1724</v>
      </c>
      <c r="E1035" s="64">
        <f>20.4726 * CHOOSE(CONTROL!$C$22, $C$13, 100%, $E$13)</f>
        <v>20.4726</v>
      </c>
      <c r="F1035" s="64">
        <f>20.4726 * CHOOSE(CONTROL!$C$22, $C$13, 100%, $E$13)</f>
        <v>20.4726</v>
      </c>
      <c r="G1035" s="64">
        <f>20.4727 * CHOOSE(CONTROL!$C$22, $C$13, 100%, $E$13)</f>
        <v>20.4727</v>
      </c>
      <c r="H1035" s="64">
        <f>35.3032* CHOOSE(CONTROL!$C$22, $C$13, 100%, $E$13)</f>
        <v>35.303199999999997</v>
      </c>
      <c r="I1035" s="64">
        <f>35.3033 * CHOOSE(CONTROL!$C$22, $C$13, 100%, $E$13)</f>
        <v>35.3033</v>
      </c>
      <c r="J1035" s="64">
        <f>20.4726 * CHOOSE(CONTROL!$C$22, $C$13, 100%, $E$13)</f>
        <v>20.4726</v>
      </c>
      <c r="K1035" s="64">
        <f>20.4727 * CHOOSE(CONTROL!$C$22, $C$13, 100%, $E$13)</f>
        <v>20.4727</v>
      </c>
    </row>
    <row r="1036" spans="1:11" ht="15">
      <c r="A1036" s="13">
        <v>73020</v>
      </c>
      <c r="B1036" s="63">
        <f>18.1724 * CHOOSE(CONTROL!$C$22, $C$13, 100%, $E$13)</f>
        <v>18.1724</v>
      </c>
      <c r="C1036" s="63">
        <f>18.1724 * CHOOSE(CONTROL!$C$22, $C$13, 100%, $E$13)</f>
        <v>18.1724</v>
      </c>
      <c r="D1036" s="63">
        <f>18.1724 * CHOOSE(CONTROL!$C$22, $C$13, 100%, $E$13)</f>
        <v>18.1724</v>
      </c>
      <c r="E1036" s="64">
        <f>20.2802 * CHOOSE(CONTROL!$C$22, $C$13, 100%, $E$13)</f>
        <v>20.280200000000001</v>
      </c>
      <c r="F1036" s="64">
        <f>20.2802 * CHOOSE(CONTROL!$C$22, $C$13, 100%, $E$13)</f>
        <v>20.280200000000001</v>
      </c>
      <c r="G1036" s="64">
        <f>20.2803 * CHOOSE(CONTROL!$C$22, $C$13, 100%, $E$13)</f>
        <v>20.2803</v>
      </c>
      <c r="H1036" s="64">
        <f>35.3767* CHOOSE(CONTROL!$C$22, $C$13, 100%, $E$13)</f>
        <v>35.3767</v>
      </c>
      <c r="I1036" s="64">
        <f>35.3768 * CHOOSE(CONTROL!$C$22, $C$13, 100%, $E$13)</f>
        <v>35.376800000000003</v>
      </c>
      <c r="J1036" s="64">
        <f>20.2802 * CHOOSE(CONTROL!$C$22, $C$13, 100%, $E$13)</f>
        <v>20.280200000000001</v>
      </c>
      <c r="K1036" s="64">
        <f>20.2803 * CHOOSE(CONTROL!$C$22, $C$13, 100%, $E$13)</f>
        <v>20.2803</v>
      </c>
    </row>
    <row r="1037" spans="1:11" ht="15">
      <c r="A1037" s="13">
        <v>73051</v>
      </c>
      <c r="B1037" s="63">
        <f>18.0834 * CHOOSE(CONTROL!$C$22, $C$13, 100%, $E$13)</f>
        <v>18.083400000000001</v>
      </c>
      <c r="C1037" s="63">
        <f>18.0834 * CHOOSE(CONTROL!$C$22, $C$13, 100%, $E$13)</f>
        <v>18.083400000000001</v>
      </c>
      <c r="D1037" s="63">
        <f>18.0834 * CHOOSE(CONTROL!$C$22, $C$13, 100%, $E$13)</f>
        <v>18.083400000000001</v>
      </c>
      <c r="E1037" s="64">
        <f>20.3433 * CHOOSE(CONTROL!$C$22, $C$13, 100%, $E$13)</f>
        <v>20.343299999999999</v>
      </c>
      <c r="F1037" s="64">
        <f>20.3433 * CHOOSE(CONTROL!$C$22, $C$13, 100%, $E$13)</f>
        <v>20.343299999999999</v>
      </c>
      <c r="G1037" s="64">
        <f>20.3434 * CHOOSE(CONTROL!$C$22, $C$13, 100%, $E$13)</f>
        <v>20.343399999999999</v>
      </c>
      <c r="H1037" s="64">
        <f>35.022* CHOOSE(CONTROL!$C$22, $C$13, 100%, $E$13)</f>
        <v>35.021999999999998</v>
      </c>
      <c r="I1037" s="64">
        <f>35.022 * CHOOSE(CONTROL!$C$22, $C$13, 100%, $E$13)</f>
        <v>35.021999999999998</v>
      </c>
      <c r="J1037" s="64">
        <f>20.3433 * CHOOSE(CONTROL!$C$22, $C$13, 100%, $E$13)</f>
        <v>20.343299999999999</v>
      </c>
      <c r="K1037" s="64">
        <f>20.3434 * CHOOSE(CONTROL!$C$22, $C$13, 100%, $E$13)</f>
        <v>20.343399999999999</v>
      </c>
    </row>
    <row r="1038" spans="1:11" ht="15">
      <c r="A1038" s="13">
        <v>73082</v>
      </c>
      <c r="B1038" s="63">
        <f>18.0804 * CHOOSE(CONTROL!$C$22, $C$13, 100%, $E$13)</f>
        <v>18.080400000000001</v>
      </c>
      <c r="C1038" s="63">
        <f>18.0804 * CHOOSE(CONTROL!$C$22, $C$13, 100%, $E$13)</f>
        <v>18.080400000000001</v>
      </c>
      <c r="D1038" s="63">
        <f>18.0804 * CHOOSE(CONTROL!$C$22, $C$13, 100%, $E$13)</f>
        <v>18.080400000000001</v>
      </c>
      <c r="E1038" s="64">
        <f>19.9726 * CHOOSE(CONTROL!$C$22, $C$13, 100%, $E$13)</f>
        <v>19.9726</v>
      </c>
      <c r="F1038" s="64">
        <f>19.9726 * CHOOSE(CONTROL!$C$22, $C$13, 100%, $E$13)</f>
        <v>19.9726</v>
      </c>
      <c r="G1038" s="64">
        <f>19.9727 * CHOOSE(CONTROL!$C$22, $C$13, 100%, $E$13)</f>
        <v>19.9727</v>
      </c>
      <c r="H1038" s="64">
        <f>35.0949* CHOOSE(CONTROL!$C$22, $C$13, 100%, $E$13)</f>
        <v>35.094900000000003</v>
      </c>
      <c r="I1038" s="64">
        <f>35.095 * CHOOSE(CONTROL!$C$22, $C$13, 100%, $E$13)</f>
        <v>35.094999999999999</v>
      </c>
      <c r="J1038" s="64">
        <f>19.9726 * CHOOSE(CONTROL!$C$22, $C$13, 100%, $E$13)</f>
        <v>19.9726</v>
      </c>
      <c r="K1038" s="64">
        <f>19.9727 * CHOOSE(CONTROL!$C$22, $C$13, 100%, $E$13)</f>
        <v>19.9727</v>
      </c>
    </row>
    <row r="1039" spans="1:11" ht="15">
      <c r="A1039" s="13">
        <v>73110</v>
      </c>
      <c r="B1039" s="63">
        <f>18.0774 * CHOOSE(CONTROL!$C$22, $C$13, 100%, $E$13)</f>
        <v>18.077400000000001</v>
      </c>
      <c r="C1039" s="63">
        <f>18.0774 * CHOOSE(CONTROL!$C$22, $C$13, 100%, $E$13)</f>
        <v>18.077400000000001</v>
      </c>
      <c r="D1039" s="63">
        <f>18.0774 * CHOOSE(CONTROL!$C$22, $C$13, 100%, $E$13)</f>
        <v>18.077400000000001</v>
      </c>
      <c r="E1039" s="64">
        <f>20.261 * CHOOSE(CONTROL!$C$22, $C$13, 100%, $E$13)</f>
        <v>20.260999999999999</v>
      </c>
      <c r="F1039" s="64">
        <f>20.261 * CHOOSE(CONTROL!$C$22, $C$13, 100%, $E$13)</f>
        <v>20.260999999999999</v>
      </c>
      <c r="G1039" s="64">
        <f>20.2611 * CHOOSE(CONTROL!$C$22, $C$13, 100%, $E$13)</f>
        <v>20.261099999999999</v>
      </c>
      <c r="H1039" s="64">
        <f>35.168* CHOOSE(CONTROL!$C$22, $C$13, 100%, $E$13)</f>
        <v>35.167999999999999</v>
      </c>
      <c r="I1039" s="64">
        <f>35.1681 * CHOOSE(CONTROL!$C$22, $C$13, 100%, $E$13)</f>
        <v>35.168100000000003</v>
      </c>
      <c r="J1039" s="64">
        <f>20.261 * CHOOSE(CONTROL!$C$22, $C$13, 100%, $E$13)</f>
        <v>20.260999999999999</v>
      </c>
      <c r="K1039" s="64">
        <f>20.2611 * CHOOSE(CONTROL!$C$22, $C$13, 100%, $E$13)</f>
        <v>20.261099999999999</v>
      </c>
    </row>
    <row r="1040" spans="1:11" ht="15">
      <c r="A1040" s="13">
        <v>73141</v>
      </c>
      <c r="B1040" s="63">
        <f>18.0868 * CHOOSE(CONTROL!$C$22, $C$13, 100%, $E$13)</f>
        <v>18.0868</v>
      </c>
      <c r="C1040" s="63">
        <f>18.0868 * CHOOSE(CONTROL!$C$22, $C$13, 100%, $E$13)</f>
        <v>18.0868</v>
      </c>
      <c r="D1040" s="63">
        <f>18.0868 * CHOOSE(CONTROL!$C$22, $C$13, 100%, $E$13)</f>
        <v>18.0868</v>
      </c>
      <c r="E1040" s="64">
        <f>20.5688 * CHOOSE(CONTROL!$C$22, $C$13, 100%, $E$13)</f>
        <v>20.5688</v>
      </c>
      <c r="F1040" s="64">
        <f>20.5688 * CHOOSE(CONTROL!$C$22, $C$13, 100%, $E$13)</f>
        <v>20.5688</v>
      </c>
      <c r="G1040" s="64">
        <f>20.5689 * CHOOSE(CONTROL!$C$22, $C$13, 100%, $E$13)</f>
        <v>20.568899999999999</v>
      </c>
      <c r="H1040" s="64">
        <f>35.2413* CHOOSE(CONTROL!$C$22, $C$13, 100%, $E$13)</f>
        <v>35.241300000000003</v>
      </c>
      <c r="I1040" s="64">
        <f>35.2414 * CHOOSE(CONTROL!$C$22, $C$13, 100%, $E$13)</f>
        <v>35.241399999999999</v>
      </c>
      <c r="J1040" s="64">
        <f>20.5688 * CHOOSE(CONTROL!$C$22, $C$13, 100%, $E$13)</f>
        <v>20.5688</v>
      </c>
      <c r="K1040" s="64">
        <f>20.5689 * CHOOSE(CONTROL!$C$22, $C$13, 100%, $E$13)</f>
        <v>20.568899999999999</v>
      </c>
    </row>
    <row r="1041" spans="1:11" ht="15">
      <c r="A1041" s="13">
        <v>73171</v>
      </c>
      <c r="B1041" s="63">
        <f>18.0868 * CHOOSE(CONTROL!$C$22, $C$13, 100%, $E$13)</f>
        <v>18.0868</v>
      </c>
      <c r="C1041" s="63">
        <f>18.0868 * CHOOSE(CONTROL!$C$22, $C$13, 100%, $E$13)</f>
        <v>18.0868</v>
      </c>
      <c r="D1041" s="63">
        <f>18.0949 * CHOOSE(CONTROL!$C$22, $C$13, 100%, $E$13)</f>
        <v>18.094899999999999</v>
      </c>
      <c r="E1041" s="64">
        <f>20.6858 * CHOOSE(CONTROL!$C$22, $C$13, 100%, $E$13)</f>
        <v>20.6858</v>
      </c>
      <c r="F1041" s="64">
        <f>20.6858 * CHOOSE(CONTROL!$C$22, $C$13, 100%, $E$13)</f>
        <v>20.6858</v>
      </c>
      <c r="G1041" s="64">
        <f>20.6957 * CHOOSE(CONTROL!$C$22, $C$13, 100%, $E$13)</f>
        <v>20.695699999999999</v>
      </c>
      <c r="H1041" s="64">
        <f>35.3147* CHOOSE(CONTROL!$C$22, $C$13, 100%, $E$13)</f>
        <v>35.314700000000002</v>
      </c>
      <c r="I1041" s="64">
        <f>35.3245 * CHOOSE(CONTROL!$C$22, $C$13, 100%, $E$13)</f>
        <v>35.3245</v>
      </c>
      <c r="J1041" s="64">
        <f>20.6858 * CHOOSE(CONTROL!$C$22, $C$13, 100%, $E$13)</f>
        <v>20.6858</v>
      </c>
      <c r="K1041" s="64">
        <f>20.6957 * CHOOSE(CONTROL!$C$22, $C$13, 100%, $E$13)</f>
        <v>20.695699999999999</v>
      </c>
    </row>
    <row r="1042" spans="1:11" ht="15">
      <c r="A1042" s="13">
        <v>73202</v>
      </c>
      <c r="B1042" s="63">
        <f>18.0928 * CHOOSE(CONTROL!$C$22, $C$13, 100%, $E$13)</f>
        <v>18.0928</v>
      </c>
      <c r="C1042" s="63">
        <f>18.0928 * CHOOSE(CONTROL!$C$22, $C$13, 100%, $E$13)</f>
        <v>18.0928</v>
      </c>
      <c r="D1042" s="63">
        <f>18.101 * CHOOSE(CONTROL!$C$22, $C$13, 100%, $E$13)</f>
        <v>18.100999999999999</v>
      </c>
      <c r="E1042" s="64">
        <f>20.5731 * CHOOSE(CONTROL!$C$22, $C$13, 100%, $E$13)</f>
        <v>20.5731</v>
      </c>
      <c r="F1042" s="64">
        <f>20.5731 * CHOOSE(CONTROL!$C$22, $C$13, 100%, $E$13)</f>
        <v>20.5731</v>
      </c>
      <c r="G1042" s="64">
        <f>20.5829 * CHOOSE(CONTROL!$C$22, $C$13, 100%, $E$13)</f>
        <v>20.582899999999999</v>
      </c>
      <c r="H1042" s="64">
        <f>35.3883* CHOOSE(CONTROL!$C$22, $C$13, 100%, $E$13)</f>
        <v>35.388300000000001</v>
      </c>
      <c r="I1042" s="64">
        <f>35.3981 * CHOOSE(CONTROL!$C$22, $C$13, 100%, $E$13)</f>
        <v>35.398099999999999</v>
      </c>
      <c r="J1042" s="64">
        <f>20.5731 * CHOOSE(CONTROL!$C$22, $C$13, 100%, $E$13)</f>
        <v>20.5731</v>
      </c>
      <c r="K1042" s="64">
        <f>20.5829 * CHOOSE(CONTROL!$C$22, $C$13, 100%, $E$13)</f>
        <v>20.582899999999999</v>
      </c>
    </row>
    <row r="1043" spans="1:11" ht="15">
      <c r="A1043" s="13">
        <v>73232</v>
      </c>
      <c r="B1043" s="63">
        <f>18.3645 * CHOOSE(CONTROL!$C$22, $C$13, 100%, $E$13)</f>
        <v>18.3645</v>
      </c>
      <c r="C1043" s="63">
        <f>18.3645 * CHOOSE(CONTROL!$C$22, $C$13, 100%, $E$13)</f>
        <v>18.3645</v>
      </c>
      <c r="D1043" s="63">
        <f>18.3726 * CHOOSE(CONTROL!$C$22, $C$13, 100%, $E$13)</f>
        <v>18.372599999999998</v>
      </c>
      <c r="E1043" s="64">
        <f>20.897 * CHOOSE(CONTROL!$C$22, $C$13, 100%, $E$13)</f>
        <v>20.896999999999998</v>
      </c>
      <c r="F1043" s="64">
        <f>20.897 * CHOOSE(CONTROL!$C$22, $C$13, 100%, $E$13)</f>
        <v>20.896999999999998</v>
      </c>
      <c r="G1043" s="64">
        <f>20.9069 * CHOOSE(CONTROL!$C$22, $C$13, 100%, $E$13)</f>
        <v>20.9069</v>
      </c>
      <c r="H1043" s="64">
        <f>35.462* CHOOSE(CONTROL!$C$22, $C$13, 100%, $E$13)</f>
        <v>35.462000000000003</v>
      </c>
      <c r="I1043" s="64">
        <f>35.4718 * CHOOSE(CONTROL!$C$22, $C$13, 100%, $E$13)</f>
        <v>35.471800000000002</v>
      </c>
      <c r="J1043" s="64">
        <f>20.897 * CHOOSE(CONTROL!$C$22, $C$13, 100%, $E$13)</f>
        <v>20.896999999999998</v>
      </c>
      <c r="K1043" s="64">
        <f>20.9069 * CHOOSE(CONTROL!$C$22, $C$13, 100%, $E$13)</f>
        <v>20.9069</v>
      </c>
    </row>
    <row r="1044" spans="1:11" ht="15">
      <c r="A1044" s="13">
        <v>73263</v>
      </c>
      <c r="B1044" s="63">
        <f>18.3712 * CHOOSE(CONTROL!$C$22, $C$13, 100%, $E$13)</f>
        <v>18.371200000000002</v>
      </c>
      <c r="C1044" s="63">
        <f>18.3712 * CHOOSE(CONTROL!$C$22, $C$13, 100%, $E$13)</f>
        <v>18.371200000000002</v>
      </c>
      <c r="D1044" s="63">
        <f>18.3793 * CHOOSE(CONTROL!$C$22, $C$13, 100%, $E$13)</f>
        <v>18.379300000000001</v>
      </c>
      <c r="E1044" s="64">
        <f>20.5507 * CHOOSE(CONTROL!$C$22, $C$13, 100%, $E$13)</f>
        <v>20.550699999999999</v>
      </c>
      <c r="F1044" s="64">
        <f>20.5507 * CHOOSE(CONTROL!$C$22, $C$13, 100%, $E$13)</f>
        <v>20.550699999999999</v>
      </c>
      <c r="G1044" s="64">
        <f>20.5605 * CHOOSE(CONTROL!$C$22, $C$13, 100%, $E$13)</f>
        <v>20.560500000000001</v>
      </c>
      <c r="H1044" s="64">
        <f>35.5359* CHOOSE(CONTROL!$C$22, $C$13, 100%, $E$13)</f>
        <v>35.535899999999998</v>
      </c>
      <c r="I1044" s="64">
        <f>35.5457 * CHOOSE(CONTROL!$C$22, $C$13, 100%, $E$13)</f>
        <v>35.545699999999997</v>
      </c>
      <c r="J1044" s="64">
        <f>20.5507 * CHOOSE(CONTROL!$C$22, $C$13, 100%, $E$13)</f>
        <v>20.550699999999999</v>
      </c>
      <c r="K1044" s="64">
        <f>20.5605 * CHOOSE(CONTROL!$C$22, $C$13, 100%, $E$13)</f>
        <v>20.560500000000001</v>
      </c>
    </row>
    <row r="1045" spans="1:11" ht="15">
      <c r="A1045" s="13">
        <v>73294</v>
      </c>
      <c r="B1045" s="63">
        <f>18.3681 * CHOOSE(CONTROL!$C$22, $C$13, 100%, $E$13)</f>
        <v>18.368099999999998</v>
      </c>
      <c r="C1045" s="63">
        <f>18.3681 * CHOOSE(CONTROL!$C$22, $C$13, 100%, $E$13)</f>
        <v>18.368099999999998</v>
      </c>
      <c r="D1045" s="63">
        <f>18.3762 * CHOOSE(CONTROL!$C$22, $C$13, 100%, $E$13)</f>
        <v>18.376200000000001</v>
      </c>
      <c r="E1045" s="64">
        <f>20.5095 * CHOOSE(CONTROL!$C$22, $C$13, 100%, $E$13)</f>
        <v>20.509499999999999</v>
      </c>
      <c r="F1045" s="64">
        <f>20.5095 * CHOOSE(CONTROL!$C$22, $C$13, 100%, $E$13)</f>
        <v>20.509499999999999</v>
      </c>
      <c r="G1045" s="64">
        <f>20.5194 * CHOOSE(CONTROL!$C$22, $C$13, 100%, $E$13)</f>
        <v>20.519400000000001</v>
      </c>
      <c r="H1045" s="64">
        <f>35.6099* CHOOSE(CONTROL!$C$22, $C$13, 100%, $E$13)</f>
        <v>35.609900000000003</v>
      </c>
      <c r="I1045" s="64">
        <f>35.6198 * CHOOSE(CONTROL!$C$22, $C$13, 100%, $E$13)</f>
        <v>35.619799999999998</v>
      </c>
      <c r="J1045" s="64">
        <f>20.5095 * CHOOSE(CONTROL!$C$22, $C$13, 100%, $E$13)</f>
        <v>20.509499999999999</v>
      </c>
      <c r="K1045" s="64">
        <f>20.5194 * CHOOSE(CONTROL!$C$22, $C$13, 100%, $E$13)</f>
        <v>20.519400000000001</v>
      </c>
    </row>
    <row r="1046" spans="1:11" ht="15">
      <c r="A1046" s="13">
        <v>73324</v>
      </c>
      <c r="B1046" s="63">
        <f>18.4093 * CHOOSE(CONTROL!$C$22, $C$13, 100%, $E$13)</f>
        <v>18.409300000000002</v>
      </c>
      <c r="C1046" s="63">
        <f>18.4093 * CHOOSE(CONTROL!$C$22, $C$13, 100%, $E$13)</f>
        <v>18.409300000000002</v>
      </c>
      <c r="D1046" s="63">
        <f>18.4093 * CHOOSE(CONTROL!$C$22, $C$13, 100%, $E$13)</f>
        <v>18.409300000000002</v>
      </c>
      <c r="E1046" s="64">
        <f>20.6521 * CHOOSE(CONTROL!$C$22, $C$13, 100%, $E$13)</f>
        <v>20.652100000000001</v>
      </c>
      <c r="F1046" s="64">
        <f>20.6521 * CHOOSE(CONTROL!$C$22, $C$13, 100%, $E$13)</f>
        <v>20.652100000000001</v>
      </c>
      <c r="G1046" s="64">
        <f>20.6522 * CHOOSE(CONTROL!$C$22, $C$13, 100%, $E$13)</f>
        <v>20.652200000000001</v>
      </c>
      <c r="H1046" s="64">
        <f>35.6841* CHOOSE(CONTROL!$C$22, $C$13, 100%, $E$13)</f>
        <v>35.684100000000001</v>
      </c>
      <c r="I1046" s="64">
        <f>35.6842 * CHOOSE(CONTROL!$C$22, $C$13, 100%, $E$13)</f>
        <v>35.684199999999997</v>
      </c>
      <c r="J1046" s="64">
        <f>20.6521 * CHOOSE(CONTROL!$C$22, $C$13, 100%, $E$13)</f>
        <v>20.652100000000001</v>
      </c>
      <c r="K1046" s="64">
        <f>20.6522 * CHOOSE(CONTROL!$C$22, $C$13, 100%, $E$13)</f>
        <v>20.652200000000001</v>
      </c>
    </row>
    <row r="1047" spans="1:11" ht="15">
      <c r="A1047" s="13">
        <v>73355</v>
      </c>
      <c r="B1047" s="63">
        <f>18.4123 * CHOOSE(CONTROL!$C$22, $C$13, 100%, $E$13)</f>
        <v>18.412299999999998</v>
      </c>
      <c r="C1047" s="63">
        <f>18.4123 * CHOOSE(CONTROL!$C$22, $C$13, 100%, $E$13)</f>
        <v>18.412299999999998</v>
      </c>
      <c r="D1047" s="63">
        <f>18.4123 * CHOOSE(CONTROL!$C$22, $C$13, 100%, $E$13)</f>
        <v>18.412299999999998</v>
      </c>
      <c r="E1047" s="64">
        <f>20.7323 * CHOOSE(CONTROL!$C$22, $C$13, 100%, $E$13)</f>
        <v>20.732299999999999</v>
      </c>
      <c r="F1047" s="64">
        <f>20.7323 * CHOOSE(CONTROL!$C$22, $C$13, 100%, $E$13)</f>
        <v>20.732299999999999</v>
      </c>
      <c r="G1047" s="64">
        <f>20.7323 * CHOOSE(CONTROL!$C$22, $C$13, 100%, $E$13)</f>
        <v>20.732299999999999</v>
      </c>
      <c r="H1047" s="64">
        <f>35.7585* CHOOSE(CONTROL!$C$22, $C$13, 100%, $E$13)</f>
        <v>35.758499999999998</v>
      </c>
      <c r="I1047" s="64">
        <f>35.7585 * CHOOSE(CONTROL!$C$22, $C$13, 100%, $E$13)</f>
        <v>35.758499999999998</v>
      </c>
      <c r="J1047" s="64">
        <f>20.7323 * CHOOSE(CONTROL!$C$22, $C$13, 100%, $E$13)</f>
        <v>20.732299999999999</v>
      </c>
      <c r="K1047" s="64">
        <f>20.7323 * CHOOSE(CONTROL!$C$22, $C$13, 100%, $E$13)</f>
        <v>20.732299999999999</v>
      </c>
    </row>
    <row r="1048" spans="1:11" ht="15">
      <c r="A1048" s="13">
        <v>73385</v>
      </c>
      <c r="B1048" s="63">
        <f>18.4123 * CHOOSE(CONTROL!$C$22, $C$13, 100%, $E$13)</f>
        <v>18.412299999999998</v>
      </c>
      <c r="C1048" s="63">
        <f>18.4123 * CHOOSE(CONTROL!$C$22, $C$13, 100%, $E$13)</f>
        <v>18.412299999999998</v>
      </c>
      <c r="D1048" s="63">
        <f>18.4123 * CHOOSE(CONTROL!$C$22, $C$13, 100%, $E$13)</f>
        <v>18.412299999999998</v>
      </c>
      <c r="E1048" s="64">
        <f>20.5373 * CHOOSE(CONTROL!$C$22, $C$13, 100%, $E$13)</f>
        <v>20.537299999999998</v>
      </c>
      <c r="F1048" s="64">
        <f>20.5373 * CHOOSE(CONTROL!$C$22, $C$13, 100%, $E$13)</f>
        <v>20.537299999999998</v>
      </c>
      <c r="G1048" s="64">
        <f>20.5373 * CHOOSE(CONTROL!$C$22, $C$13, 100%, $E$13)</f>
        <v>20.537299999999998</v>
      </c>
      <c r="H1048" s="64">
        <f>35.833* CHOOSE(CONTROL!$C$22, $C$13, 100%, $E$13)</f>
        <v>35.832999999999998</v>
      </c>
      <c r="I1048" s="64">
        <f>35.833 * CHOOSE(CONTROL!$C$22, $C$13, 100%, $E$13)</f>
        <v>35.832999999999998</v>
      </c>
      <c r="J1048" s="64">
        <f>20.5373 * CHOOSE(CONTROL!$C$22, $C$13, 100%, $E$13)</f>
        <v>20.537299999999998</v>
      </c>
      <c r="K1048" s="64">
        <f>20.5373 * CHOOSE(CONTROL!$C$22, $C$13, 100%, $E$13)</f>
        <v>20.537299999999998</v>
      </c>
    </row>
    <row r="1049" spans="1:11" ht="15">
      <c r="A1049" s="10"/>
      <c r="B1049" s="63"/>
      <c r="C1049" s="63"/>
      <c r="D1049" s="63"/>
      <c r="E1049" s="64"/>
      <c r="F1049" s="64"/>
      <c r="G1049" s="64"/>
      <c r="H1049" s="64"/>
      <c r="I1049" s="64"/>
      <c r="J1049" s="64"/>
      <c r="K1049" s="64"/>
    </row>
    <row r="1050" spans="1:11" ht="15">
      <c r="A1050" s="3">
        <v>2015</v>
      </c>
      <c r="B1050" s="63">
        <f t="shared" ref="B1050:K1050" si="0">AVERAGE(B17:B28)</f>
        <v>2.5009166666666673</v>
      </c>
      <c r="C1050" s="63">
        <f t="shared" si="0"/>
        <v>2.5282416666666667</v>
      </c>
      <c r="D1050" s="63">
        <f t="shared" si="0"/>
        <v>2.531625</v>
      </c>
      <c r="E1050" s="63">
        <f t="shared" si="0"/>
        <v>3.2090166666666664</v>
      </c>
      <c r="F1050" s="63">
        <f t="shared" si="0"/>
        <v>3.254</v>
      </c>
      <c r="G1050" s="63">
        <f t="shared" si="0"/>
        <v>3.2581416666666669</v>
      </c>
      <c r="H1050" s="63">
        <f t="shared" si="0"/>
        <v>5.6570916666666671</v>
      </c>
      <c r="I1050" s="63">
        <f t="shared" si="0"/>
        <v>5.6612416666666663</v>
      </c>
      <c r="J1050" s="63">
        <f t="shared" si="0"/>
        <v>3.2090166666666664</v>
      </c>
      <c r="K1050" s="63">
        <f t="shared" si="0"/>
        <v>3.2131500000000002</v>
      </c>
    </row>
    <row r="1051" spans="1:11" ht="15">
      <c r="A1051" s="3">
        <v>2016</v>
      </c>
      <c r="B1051" s="63">
        <f t="shared" ref="B1051:K1051" si="1">AVERAGE(B29:B40)</f>
        <v>2.8711249999999997</v>
      </c>
      <c r="C1051" s="63">
        <f t="shared" si="1"/>
        <v>2.8711249999999997</v>
      </c>
      <c r="D1051" s="63">
        <f t="shared" si="1"/>
        <v>2.8744999999999998</v>
      </c>
      <c r="E1051" s="63">
        <f t="shared" si="1"/>
        <v>3.3873333333333338</v>
      </c>
      <c r="F1051" s="63">
        <f t="shared" si="1"/>
        <v>3.4460000000000002</v>
      </c>
      <c r="G1051" s="63">
        <f t="shared" si="1"/>
        <v>3.4501416666666671</v>
      </c>
      <c r="H1051" s="63">
        <f t="shared" si="1"/>
        <v>5.7971666666666666</v>
      </c>
      <c r="I1051" s="63">
        <f t="shared" si="1"/>
        <v>5.801308333333334</v>
      </c>
      <c r="J1051" s="63">
        <f t="shared" si="1"/>
        <v>3.3873333333333338</v>
      </c>
      <c r="K1051" s="63">
        <f t="shared" si="1"/>
        <v>3.3914749999999998</v>
      </c>
    </row>
    <row r="1052" spans="1:11" ht="15">
      <c r="A1052" s="3">
        <v>2017</v>
      </c>
      <c r="B1052" s="63">
        <f t="shared" ref="B1052:K1052" si="2">AVERAGE(B41:B52)</f>
        <v>3.0028000000000001</v>
      </c>
      <c r="C1052" s="63">
        <f t="shared" si="2"/>
        <v>3.0028000000000001</v>
      </c>
      <c r="D1052" s="63">
        <f t="shared" si="2"/>
        <v>3.006183333333333</v>
      </c>
      <c r="E1052" s="63">
        <f t="shared" si="2"/>
        <v>3.5879916666666669</v>
      </c>
      <c r="F1052" s="63">
        <f t="shared" si="2"/>
        <v>3.5879916666666669</v>
      </c>
      <c r="G1052" s="63">
        <f t="shared" si="2"/>
        <v>3.5921333333333334</v>
      </c>
      <c r="H1052" s="63">
        <f t="shared" si="2"/>
        <v>5.943766666666666</v>
      </c>
      <c r="I1052" s="63">
        <f t="shared" si="2"/>
        <v>5.9479000000000006</v>
      </c>
      <c r="J1052" s="63">
        <f t="shared" si="2"/>
        <v>3.5879916666666669</v>
      </c>
      <c r="K1052" s="63">
        <f t="shared" si="2"/>
        <v>3.5921333333333334</v>
      </c>
    </row>
    <row r="1053" spans="1:11" ht="15">
      <c r="A1053" s="3">
        <v>2018</v>
      </c>
      <c r="B1053" s="63">
        <f t="shared" ref="B1053:K1053" si="3">AVERAGE(B53:B64)</f>
        <v>3.1109000000000004</v>
      </c>
      <c r="C1053" s="63">
        <f t="shared" si="3"/>
        <v>3.1109000000000004</v>
      </c>
      <c r="D1053" s="63">
        <f t="shared" si="3"/>
        <v>3.1142749999999997</v>
      </c>
      <c r="E1053" s="63">
        <f t="shared" si="3"/>
        <v>3.7429000000000006</v>
      </c>
      <c r="F1053" s="63">
        <f t="shared" si="3"/>
        <v>3.7429000000000006</v>
      </c>
      <c r="G1053" s="63">
        <f t="shared" si="3"/>
        <v>3.7470416666666675</v>
      </c>
      <c r="H1053" s="63">
        <f t="shared" si="3"/>
        <v>6.0940916666666674</v>
      </c>
      <c r="I1053" s="63">
        <f t="shared" si="3"/>
        <v>6.0982166666666666</v>
      </c>
      <c r="J1053" s="63">
        <f t="shared" si="3"/>
        <v>3.7429000000000006</v>
      </c>
      <c r="K1053" s="63">
        <f t="shared" si="3"/>
        <v>3.7470416666666675</v>
      </c>
    </row>
    <row r="1054" spans="1:11" ht="15">
      <c r="A1054" s="3">
        <v>2019</v>
      </c>
      <c r="B1054" s="63">
        <f t="shared" ref="B1054:K1054" si="4">AVERAGE(B65:B76)</f>
        <v>3.1375166666666665</v>
      </c>
      <c r="C1054" s="63">
        <f t="shared" si="4"/>
        <v>3.1375166666666665</v>
      </c>
      <c r="D1054" s="63">
        <f t="shared" si="4"/>
        <v>3.1408916666666666</v>
      </c>
      <c r="E1054" s="63">
        <f t="shared" si="4"/>
        <v>3.8573833333333334</v>
      </c>
      <c r="F1054" s="63">
        <f t="shared" si="4"/>
        <v>3.8573833333333334</v>
      </c>
      <c r="G1054" s="63">
        <f t="shared" si="4"/>
        <v>3.8615333333333335</v>
      </c>
      <c r="H1054" s="63">
        <f t="shared" si="4"/>
        <v>6.2481916666666679</v>
      </c>
      <c r="I1054" s="63">
        <f t="shared" si="4"/>
        <v>6.2523416666666662</v>
      </c>
      <c r="J1054" s="63">
        <f t="shared" si="4"/>
        <v>3.8573833333333334</v>
      </c>
      <c r="K1054" s="63">
        <f t="shared" si="4"/>
        <v>3.8615333333333335</v>
      </c>
    </row>
    <row r="1055" spans="1:11" ht="15">
      <c r="A1055" s="3">
        <v>2020</v>
      </c>
      <c r="B1055" s="63">
        <f t="shared" ref="B1055:K1055" si="5">AVERAGE(B77:B88)</f>
        <v>3.1985999999999994</v>
      </c>
      <c r="C1055" s="63">
        <f t="shared" si="5"/>
        <v>3.1985999999999994</v>
      </c>
      <c r="D1055" s="63">
        <f t="shared" si="5"/>
        <v>3.2019750000000005</v>
      </c>
      <c r="E1055" s="63">
        <f t="shared" si="5"/>
        <v>3.7282833333333336</v>
      </c>
      <c r="F1055" s="63">
        <f t="shared" si="5"/>
        <v>3.7282833333333336</v>
      </c>
      <c r="G1055" s="63">
        <f t="shared" si="5"/>
        <v>3.7324333333333328</v>
      </c>
      <c r="H1055" s="63">
        <f t="shared" si="5"/>
        <v>6.4061999999999992</v>
      </c>
      <c r="I1055" s="63">
        <f t="shared" si="5"/>
        <v>6.4103416666666675</v>
      </c>
      <c r="J1055" s="63">
        <f t="shared" si="5"/>
        <v>3.7282833333333336</v>
      </c>
      <c r="K1055" s="63">
        <f t="shared" si="5"/>
        <v>3.7324333333333328</v>
      </c>
    </row>
    <row r="1056" spans="1:11" ht="15">
      <c r="A1056" s="3">
        <v>2021</v>
      </c>
      <c r="B1056" s="63">
        <f t="shared" ref="B1056:K1056" si="6">AVERAGE(B89:B100)</f>
        <v>3.2682833333333332</v>
      </c>
      <c r="C1056" s="63">
        <f t="shared" si="6"/>
        <v>3.2682833333333332</v>
      </c>
      <c r="D1056" s="63">
        <f t="shared" si="6"/>
        <v>3.2716583333333333</v>
      </c>
      <c r="E1056" s="63">
        <f t="shared" si="6"/>
        <v>3.7707666666666668</v>
      </c>
      <c r="F1056" s="63">
        <f t="shared" si="6"/>
        <v>3.7707666666666668</v>
      </c>
      <c r="G1056" s="63">
        <f t="shared" si="6"/>
        <v>3.7749166666666674</v>
      </c>
      <c r="H1056" s="63">
        <f t="shared" si="6"/>
        <v>6.5682</v>
      </c>
      <c r="I1056" s="63">
        <f t="shared" si="6"/>
        <v>6.5723333333333329</v>
      </c>
      <c r="J1056" s="63">
        <f t="shared" si="6"/>
        <v>3.7707666666666668</v>
      </c>
      <c r="K1056" s="63">
        <f t="shared" si="6"/>
        <v>3.7749166666666674</v>
      </c>
    </row>
    <row r="1057" spans="1:11" ht="15">
      <c r="A1057" s="3">
        <v>2022</v>
      </c>
      <c r="B1057" s="63">
        <f t="shared" ref="B1057:K1057" si="7">AVERAGE(B101:B112)</f>
        <v>3.3391416666666669</v>
      </c>
      <c r="C1057" s="63">
        <f t="shared" si="7"/>
        <v>3.3391416666666669</v>
      </c>
      <c r="D1057" s="63">
        <f t="shared" si="7"/>
        <v>3.3425250000000002</v>
      </c>
      <c r="E1057" s="63">
        <f t="shared" si="7"/>
        <v>3.944116666666666</v>
      </c>
      <c r="F1057" s="63">
        <f t="shared" si="7"/>
        <v>3.944116666666666</v>
      </c>
      <c r="G1057" s="63">
        <f t="shared" si="7"/>
        <v>3.9482916666666661</v>
      </c>
      <c r="H1057" s="63">
        <f t="shared" si="7"/>
        <v>6.7342833333333338</v>
      </c>
      <c r="I1057" s="63">
        <f t="shared" si="7"/>
        <v>6.7384416666666667</v>
      </c>
      <c r="J1057" s="63">
        <f t="shared" si="7"/>
        <v>3.944116666666666</v>
      </c>
      <c r="K1057" s="63">
        <f t="shared" si="7"/>
        <v>3.9482916666666661</v>
      </c>
    </row>
    <row r="1058" spans="1:11" ht="15">
      <c r="A1058" s="3">
        <v>2023</v>
      </c>
      <c r="B1058" s="63">
        <f t="shared" ref="B1058:K1058" si="8">AVERAGE(B113:B124)</f>
        <v>3.4119833333333336</v>
      </c>
      <c r="C1058" s="63">
        <f t="shared" si="8"/>
        <v>3.4119833333333336</v>
      </c>
      <c r="D1058" s="63">
        <f t="shared" si="8"/>
        <v>3.4153666666666673</v>
      </c>
      <c r="E1058" s="63">
        <f t="shared" si="8"/>
        <v>4.0709833333333334</v>
      </c>
      <c r="F1058" s="63">
        <f t="shared" si="8"/>
        <v>4.0709833333333334</v>
      </c>
      <c r="G1058" s="63">
        <f t="shared" si="8"/>
        <v>4.0751333333333335</v>
      </c>
      <c r="H1058" s="63">
        <f t="shared" si="8"/>
        <v>6.9045916666666658</v>
      </c>
      <c r="I1058" s="63">
        <f t="shared" si="8"/>
        <v>6.9087416666666668</v>
      </c>
      <c r="J1058" s="63">
        <f t="shared" si="8"/>
        <v>4.0709833333333334</v>
      </c>
      <c r="K1058" s="63">
        <f t="shared" si="8"/>
        <v>4.0751333333333335</v>
      </c>
    </row>
    <row r="1059" spans="1:11" ht="15">
      <c r="A1059" s="3">
        <v>2024</v>
      </c>
      <c r="B1059" s="63">
        <f t="shared" ref="B1059:K1059" si="9">AVERAGE(B125:B136)</f>
        <v>3.4898833333333328</v>
      </c>
      <c r="C1059" s="63">
        <f t="shared" si="9"/>
        <v>3.4898833333333328</v>
      </c>
      <c r="D1059" s="63">
        <f t="shared" si="9"/>
        <v>3.4932750000000006</v>
      </c>
      <c r="E1059" s="63">
        <f t="shared" si="9"/>
        <v>4.1558083333333329</v>
      </c>
      <c r="F1059" s="63">
        <f t="shared" si="9"/>
        <v>4.1558083333333329</v>
      </c>
      <c r="G1059" s="63">
        <f t="shared" si="9"/>
        <v>4.1599250000000003</v>
      </c>
      <c r="H1059" s="63">
        <f t="shared" si="9"/>
        <v>7.0792083333333329</v>
      </c>
      <c r="I1059" s="63">
        <f t="shared" si="9"/>
        <v>7.0833500000000003</v>
      </c>
      <c r="J1059" s="63">
        <f t="shared" si="9"/>
        <v>4.1558083333333329</v>
      </c>
      <c r="K1059" s="63">
        <f t="shared" si="9"/>
        <v>4.1599250000000003</v>
      </c>
    </row>
    <row r="1060" spans="1:11" ht="15">
      <c r="A1060" s="3">
        <v>2025</v>
      </c>
      <c r="B1060" s="63">
        <f t="shared" ref="B1060:K1060" si="10">AVERAGE(B137:B148)</f>
        <v>3.5713666666666675</v>
      </c>
      <c r="C1060" s="63">
        <f t="shared" si="10"/>
        <v>3.5713666666666675</v>
      </c>
      <c r="D1060" s="63">
        <f t="shared" si="10"/>
        <v>3.5747583333333339</v>
      </c>
      <c r="E1060" s="63">
        <f t="shared" si="10"/>
        <v>4.2415750000000001</v>
      </c>
      <c r="F1060" s="63">
        <f t="shared" si="10"/>
        <v>4.2415750000000001</v>
      </c>
      <c r="G1060" s="63">
        <f t="shared" si="10"/>
        <v>4.2457250000000002</v>
      </c>
      <c r="H1060" s="63">
        <f t="shared" si="10"/>
        <v>7.2582250000000004</v>
      </c>
      <c r="I1060" s="63">
        <f t="shared" si="10"/>
        <v>7.2623666666666677</v>
      </c>
      <c r="J1060" s="63">
        <f t="shared" si="10"/>
        <v>4.2415750000000001</v>
      </c>
      <c r="K1060" s="63">
        <f t="shared" si="10"/>
        <v>4.2457250000000002</v>
      </c>
    </row>
    <row r="1061" spans="1:11" ht="15">
      <c r="A1061" s="3">
        <v>2026</v>
      </c>
      <c r="B1061" s="63">
        <f t="shared" ref="B1061:K1061" si="11">AVERAGE(B149:B160)</f>
        <v>3.6529916666666669</v>
      </c>
      <c r="C1061" s="63">
        <f t="shared" si="11"/>
        <v>3.6529916666666669</v>
      </c>
      <c r="D1061" s="63">
        <f t="shared" si="11"/>
        <v>3.6563999999999997</v>
      </c>
      <c r="E1061" s="63">
        <f t="shared" si="11"/>
        <v>4.3426083333333336</v>
      </c>
      <c r="F1061" s="63">
        <f t="shared" si="11"/>
        <v>4.3426083333333336</v>
      </c>
      <c r="G1061" s="63">
        <f t="shared" si="11"/>
        <v>4.3467499999999992</v>
      </c>
      <c r="H1061" s="63">
        <f t="shared" si="11"/>
        <v>7.4417749999999998</v>
      </c>
      <c r="I1061" s="63">
        <f t="shared" si="11"/>
        <v>7.4459249999999999</v>
      </c>
      <c r="J1061" s="63">
        <f t="shared" si="11"/>
        <v>4.3426083333333336</v>
      </c>
      <c r="K1061" s="63">
        <f t="shared" si="11"/>
        <v>4.3467499999999992</v>
      </c>
    </row>
    <row r="1062" spans="1:11" ht="15">
      <c r="A1062" s="3">
        <v>2027</v>
      </c>
      <c r="B1062" s="63">
        <f t="shared" ref="B1062:K1062" si="12">AVERAGE(B161:B172)</f>
        <v>3.7325916666666674</v>
      </c>
      <c r="C1062" s="63">
        <f t="shared" si="12"/>
        <v>3.7325916666666674</v>
      </c>
      <c r="D1062" s="63">
        <f t="shared" si="12"/>
        <v>3.7359666666666667</v>
      </c>
      <c r="E1062" s="63">
        <f t="shared" si="12"/>
        <v>4.4449999999999994</v>
      </c>
      <c r="F1062" s="63">
        <f t="shared" si="12"/>
        <v>4.4449999999999994</v>
      </c>
      <c r="G1062" s="63">
        <f t="shared" si="12"/>
        <v>4.4491416666666668</v>
      </c>
      <c r="H1062" s="63">
        <f t="shared" si="12"/>
        <v>7.6299583333333345</v>
      </c>
      <c r="I1062" s="63">
        <f t="shared" si="12"/>
        <v>7.6341083333333328</v>
      </c>
      <c r="J1062" s="63">
        <f t="shared" si="12"/>
        <v>4.4449999999999994</v>
      </c>
      <c r="K1062" s="63">
        <f t="shared" si="12"/>
        <v>4.4491416666666668</v>
      </c>
    </row>
    <row r="1063" spans="1:11" ht="15">
      <c r="A1063" s="3">
        <v>2028</v>
      </c>
      <c r="B1063" s="63">
        <f t="shared" ref="B1063:K1063" si="13">AVERAGE(B173:B184)</f>
        <v>3.8206500000000001</v>
      </c>
      <c r="C1063" s="63">
        <f t="shared" si="13"/>
        <v>3.8206500000000001</v>
      </c>
      <c r="D1063" s="63">
        <f t="shared" si="13"/>
        <v>3.8240416666666666</v>
      </c>
      <c r="E1063" s="63">
        <f t="shared" si="13"/>
        <v>4.5496749999999997</v>
      </c>
      <c r="F1063" s="63">
        <f t="shared" si="13"/>
        <v>4.5496749999999997</v>
      </c>
      <c r="G1063" s="63">
        <f t="shared" si="13"/>
        <v>4.5538249999999998</v>
      </c>
      <c r="H1063" s="63">
        <f t="shared" si="13"/>
        <v>7.822916666666667</v>
      </c>
      <c r="I1063" s="63">
        <f t="shared" si="13"/>
        <v>7.8270583333333335</v>
      </c>
      <c r="J1063" s="63">
        <f t="shared" si="13"/>
        <v>4.5496749999999997</v>
      </c>
      <c r="K1063" s="63">
        <f t="shared" si="13"/>
        <v>4.5538249999999998</v>
      </c>
    </row>
    <row r="1064" spans="1:11" ht="15">
      <c r="A1064" s="3">
        <v>2029</v>
      </c>
      <c r="B1064" s="63">
        <f t="shared" ref="B1064:K1064" si="14">AVERAGE(B185:B196)</f>
        <v>3.9070166666666659</v>
      </c>
      <c r="C1064" s="63">
        <f t="shared" si="14"/>
        <v>3.9070166666666659</v>
      </c>
      <c r="D1064" s="63">
        <f t="shared" si="14"/>
        <v>3.910416666666666</v>
      </c>
      <c r="E1064" s="63">
        <f t="shared" si="14"/>
        <v>4.6572416666666667</v>
      </c>
      <c r="F1064" s="63">
        <f t="shared" si="14"/>
        <v>4.6572416666666667</v>
      </c>
      <c r="G1064" s="63">
        <f t="shared" si="14"/>
        <v>4.6613833333333332</v>
      </c>
      <c r="H1064" s="63">
        <f t="shared" si="14"/>
        <v>8.0207499999999996</v>
      </c>
      <c r="I1064" s="63">
        <f t="shared" si="14"/>
        <v>8.024891666666667</v>
      </c>
      <c r="J1064" s="63">
        <f t="shared" si="14"/>
        <v>4.6572416666666667</v>
      </c>
      <c r="K1064" s="63">
        <f t="shared" si="14"/>
        <v>4.6613833333333332</v>
      </c>
    </row>
    <row r="1065" spans="1:11" ht="15">
      <c r="A1065" s="3">
        <v>2030</v>
      </c>
      <c r="B1065" s="63">
        <f t="shared" ref="B1065:K1065" si="15">AVERAGE(B197:B208)</f>
        <v>3.998324999999999</v>
      </c>
      <c r="C1065" s="63">
        <f t="shared" si="15"/>
        <v>3.998324999999999</v>
      </c>
      <c r="D1065" s="63">
        <f t="shared" si="15"/>
        <v>4.0017083333333323</v>
      </c>
      <c r="E1065" s="63">
        <f t="shared" si="15"/>
        <v>4.7692916666666667</v>
      </c>
      <c r="F1065" s="63">
        <f t="shared" si="15"/>
        <v>4.7692916666666667</v>
      </c>
      <c r="G1065" s="63">
        <f t="shared" si="15"/>
        <v>4.7734416666666668</v>
      </c>
      <c r="H1065" s="63">
        <f t="shared" si="15"/>
        <v>8.2235750000000003</v>
      </c>
      <c r="I1065" s="63">
        <f t="shared" si="15"/>
        <v>8.2277333333333331</v>
      </c>
      <c r="J1065" s="63">
        <f t="shared" si="15"/>
        <v>4.7692916666666667</v>
      </c>
      <c r="K1065" s="63">
        <f t="shared" si="15"/>
        <v>4.7734416666666668</v>
      </c>
    </row>
    <row r="1066" spans="1:11" ht="15">
      <c r="A1066" s="3">
        <v>2031</v>
      </c>
      <c r="B1066" s="63">
        <f t="shared" ref="B1066:K1066" si="16">AVERAGE(B209:B220)</f>
        <v>4.0933833333333327</v>
      </c>
      <c r="C1066" s="63">
        <f t="shared" si="16"/>
        <v>4.0933833333333327</v>
      </c>
      <c r="D1066" s="63">
        <f t="shared" si="16"/>
        <v>4.0967583333333328</v>
      </c>
      <c r="E1066" s="63">
        <f t="shared" si="16"/>
        <v>4.915375</v>
      </c>
      <c r="F1066" s="63">
        <f t="shared" si="16"/>
        <v>4.915375</v>
      </c>
      <c r="G1066" s="63">
        <f t="shared" si="16"/>
        <v>4.9195249999999993</v>
      </c>
      <c r="H1066" s="63">
        <f t="shared" si="16"/>
        <v>8.4315499999999997</v>
      </c>
      <c r="I1066" s="63">
        <f t="shared" si="16"/>
        <v>8.4356666666666662</v>
      </c>
      <c r="J1066" s="63">
        <f t="shared" si="16"/>
        <v>4.915375</v>
      </c>
      <c r="K1066" s="63">
        <f t="shared" si="16"/>
        <v>4.9195249999999993</v>
      </c>
    </row>
    <row r="1067" spans="1:11" ht="15">
      <c r="A1067" s="3">
        <v>2032</v>
      </c>
      <c r="B1067" s="63">
        <f t="shared" ref="B1067:K1067" si="17">AVERAGE(B221:B232)</f>
        <v>4.1982249999999999</v>
      </c>
      <c r="C1067" s="63">
        <f t="shared" si="17"/>
        <v>4.1982249999999999</v>
      </c>
      <c r="D1067" s="63">
        <f t="shared" si="17"/>
        <v>4.2016</v>
      </c>
      <c r="E1067" s="63">
        <f t="shared" si="17"/>
        <v>5.0666166666666665</v>
      </c>
      <c r="F1067" s="63">
        <f t="shared" si="17"/>
        <v>5.0666166666666665</v>
      </c>
      <c r="G1067" s="63">
        <f t="shared" si="17"/>
        <v>5.0707416666666676</v>
      </c>
      <c r="H1067" s="63">
        <f t="shared" si="17"/>
        <v>8.6447666666666674</v>
      </c>
      <c r="I1067" s="63">
        <f t="shared" si="17"/>
        <v>8.648908333333333</v>
      </c>
      <c r="J1067" s="63">
        <f t="shared" si="17"/>
        <v>5.0666166666666665</v>
      </c>
      <c r="K1067" s="63">
        <f t="shared" si="17"/>
        <v>5.0707416666666676</v>
      </c>
    </row>
    <row r="1068" spans="1:11" ht="15">
      <c r="A1068" s="3">
        <v>2033</v>
      </c>
      <c r="B1068" s="63">
        <f t="shared" ref="B1068:K1068" si="18">AVERAGE(B233:B244)</f>
        <v>4.3121749999999999</v>
      </c>
      <c r="C1068" s="63">
        <f t="shared" si="18"/>
        <v>4.3121749999999999</v>
      </c>
      <c r="D1068" s="63">
        <f t="shared" si="18"/>
        <v>4.3155583333333345</v>
      </c>
      <c r="E1068" s="63">
        <f t="shared" si="18"/>
        <v>5.2221833333333327</v>
      </c>
      <c r="F1068" s="63">
        <f t="shared" si="18"/>
        <v>5.2221833333333327</v>
      </c>
      <c r="G1068" s="63">
        <f t="shared" si="18"/>
        <v>5.2263250000000001</v>
      </c>
      <c r="H1068" s="63">
        <f t="shared" si="18"/>
        <v>8.8633666666666659</v>
      </c>
      <c r="I1068" s="63">
        <f t="shared" si="18"/>
        <v>8.8675083333333333</v>
      </c>
      <c r="J1068" s="63">
        <f t="shared" si="18"/>
        <v>5.2221833333333327</v>
      </c>
      <c r="K1068" s="63">
        <f t="shared" si="18"/>
        <v>5.2263250000000001</v>
      </c>
    </row>
    <row r="1069" spans="1:11" ht="15">
      <c r="A1069" s="3">
        <v>2034</v>
      </c>
      <c r="B1069" s="63">
        <f t="shared" ref="B1069:K1069" si="19">AVERAGE(B245:B256)</f>
        <v>4.4314749999999998</v>
      </c>
      <c r="C1069" s="63">
        <f t="shared" si="19"/>
        <v>4.4314749999999998</v>
      </c>
      <c r="D1069" s="63">
        <f t="shared" si="19"/>
        <v>4.4348499999999991</v>
      </c>
      <c r="E1069" s="63">
        <f t="shared" si="19"/>
        <v>5.3829916666666664</v>
      </c>
      <c r="F1069" s="63">
        <f t="shared" si="19"/>
        <v>5.3829916666666664</v>
      </c>
      <c r="G1069" s="63">
        <f t="shared" si="19"/>
        <v>5.3871166666666674</v>
      </c>
      <c r="H1069" s="63">
        <f t="shared" si="19"/>
        <v>9.0875166666666658</v>
      </c>
      <c r="I1069" s="63">
        <f t="shared" si="19"/>
        <v>9.0916583333333332</v>
      </c>
      <c r="J1069" s="63">
        <f t="shared" si="19"/>
        <v>5.3829916666666664</v>
      </c>
      <c r="K1069" s="63">
        <f t="shared" si="19"/>
        <v>5.3871166666666674</v>
      </c>
    </row>
    <row r="1070" spans="1:11" ht="15">
      <c r="A1070" s="3">
        <v>2035</v>
      </c>
      <c r="B1070" s="63">
        <f t="shared" ref="B1070:K1070" si="20">AVERAGE(B257:B268)</f>
        <v>4.5522083333333327</v>
      </c>
      <c r="C1070" s="63">
        <f t="shared" si="20"/>
        <v>4.5522083333333327</v>
      </c>
      <c r="D1070" s="63">
        <f t="shared" si="20"/>
        <v>4.5555916666666674</v>
      </c>
      <c r="E1070" s="63">
        <f t="shared" si="20"/>
        <v>5.5499833333333326</v>
      </c>
      <c r="F1070" s="63">
        <f t="shared" si="20"/>
        <v>5.5499833333333326</v>
      </c>
      <c r="G1070" s="63">
        <f t="shared" si="20"/>
        <v>5.5541083333333328</v>
      </c>
      <c r="H1070" s="63">
        <f t="shared" si="20"/>
        <v>9.3173083333333349</v>
      </c>
      <c r="I1070" s="63">
        <f t="shared" si="20"/>
        <v>9.3214500000000005</v>
      </c>
      <c r="J1070" s="63">
        <f t="shared" si="20"/>
        <v>5.5499833333333326</v>
      </c>
      <c r="K1070" s="63">
        <f t="shared" si="20"/>
        <v>5.5541083333333328</v>
      </c>
    </row>
    <row r="1071" spans="1:11" ht="15">
      <c r="A1071" s="3">
        <v>2036</v>
      </c>
      <c r="B1071" s="63">
        <f t="shared" ref="B1071:K1071" si="21">AVERAGE(B269:B280)</f>
        <v>4.6735916666666668</v>
      </c>
      <c r="C1071" s="63">
        <f t="shared" si="21"/>
        <v>4.6735916666666668</v>
      </c>
      <c r="D1071" s="63">
        <f t="shared" si="21"/>
        <v>4.6769750000000014</v>
      </c>
      <c r="E1071" s="63">
        <f t="shared" si="21"/>
        <v>5.7116166666666652</v>
      </c>
      <c r="F1071" s="63">
        <f t="shared" si="21"/>
        <v>5.7116166666666652</v>
      </c>
      <c r="G1071" s="63">
        <f t="shared" si="21"/>
        <v>5.7157666666666671</v>
      </c>
      <c r="H1071" s="63">
        <f t="shared" si="21"/>
        <v>9.5529416666666673</v>
      </c>
      <c r="I1071" s="63">
        <f t="shared" si="21"/>
        <v>9.5570916666666665</v>
      </c>
      <c r="J1071" s="63">
        <f t="shared" si="21"/>
        <v>5.7116166666666652</v>
      </c>
      <c r="K1071" s="63">
        <f t="shared" si="21"/>
        <v>5.7157666666666671</v>
      </c>
    </row>
    <row r="1072" spans="1:11" ht="15">
      <c r="A1072" s="3">
        <v>2037</v>
      </c>
      <c r="B1072" s="63">
        <f t="shared" ref="B1072:K1072" si="22">AVERAGE(B281:B292)</f>
        <v>4.7968249999999992</v>
      </c>
      <c r="C1072" s="63">
        <f t="shared" si="22"/>
        <v>4.7968249999999992</v>
      </c>
      <c r="D1072" s="63">
        <f t="shared" si="22"/>
        <v>4.8001999999999994</v>
      </c>
      <c r="E1072" s="63">
        <f t="shared" si="22"/>
        <v>5.8677333333333328</v>
      </c>
      <c r="F1072" s="63">
        <f t="shared" si="22"/>
        <v>5.8677333333333328</v>
      </c>
      <c r="G1072" s="63">
        <f t="shared" si="22"/>
        <v>5.8718833333333329</v>
      </c>
      <c r="H1072" s="63">
        <f t="shared" si="22"/>
        <v>9.7945249999999984</v>
      </c>
      <c r="I1072" s="63">
        <f t="shared" si="22"/>
        <v>9.7986749999999994</v>
      </c>
      <c r="J1072" s="63">
        <f t="shared" si="22"/>
        <v>5.8677333333333328</v>
      </c>
      <c r="K1072" s="63">
        <f t="shared" si="22"/>
        <v>5.8718833333333329</v>
      </c>
    </row>
    <row r="1073" spans="1:11" ht="15">
      <c r="A1073" s="3">
        <v>2038</v>
      </c>
      <c r="B1073" s="63">
        <f t="shared" ref="B1073:K1073" si="23">AVERAGE(B293:B304)</f>
        <v>4.9241666666666664</v>
      </c>
      <c r="C1073" s="63">
        <f t="shared" si="23"/>
        <v>4.9241666666666664</v>
      </c>
      <c r="D1073" s="63">
        <f t="shared" si="23"/>
        <v>4.9275583333333328</v>
      </c>
      <c r="E1073" s="63">
        <f t="shared" si="23"/>
        <v>6.0242416666666658</v>
      </c>
      <c r="F1073" s="63">
        <f t="shared" si="23"/>
        <v>6.0242416666666658</v>
      </c>
      <c r="G1073" s="63">
        <f t="shared" si="23"/>
        <v>6.0283833333333332</v>
      </c>
      <c r="H1073" s="63">
        <f t="shared" si="23"/>
        <v>10.042208333333333</v>
      </c>
      <c r="I1073" s="63">
        <f t="shared" si="23"/>
        <v>10.046333333333333</v>
      </c>
      <c r="J1073" s="63">
        <f t="shared" si="23"/>
        <v>6.0242416666666658</v>
      </c>
      <c r="K1073" s="63">
        <f t="shared" si="23"/>
        <v>6.0283833333333332</v>
      </c>
    </row>
    <row r="1074" spans="1:11" ht="15">
      <c r="A1074" s="3">
        <v>2039</v>
      </c>
      <c r="B1074" s="63">
        <f t="shared" ref="B1074:K1074" si="24">AVERAGE(B305:B316)</f>
        <v>5.0543916666666666</v>
      </c>
      <c r="C1074" s="63">
        <f t="shared" si="24"/>
        <v>5.0543916666666666</v>
      </c>
      <c r="D1074" s="63">
        <f t="shared" si="24"/>
        <v>5.0577666666666667</v>
      </c>
      <c r="E1074" s="63">
        <f t="shared" si="24"/>
        <v>6.1721166666666667</v>
      </c>
      <c r="F1074" s="63">
        <f t="shared" si="24"/>
        <v>6.1721166666666667</v>
      </c>
      <c r="G1074" s="63">
        <f t="shared" si="24"/>
        <v>6.1762583333333332</v>
      </c>
      <c r="H1074" s="63">
        <f t="shared" si="24"/>
        <v>10.296166666666666</v>
      </c>
      <c r="I1074" s="63">
        <f t="shared" si="24"/>
        <v>10.300291666666668</v>
      </c>
      <c r="J1074" s="63">
        <f t="shared" si="24"/>
        <v>6.1721166666666667</v>
      </c>
      <c r="K1074" s="63">
        <f t="shared" si="24"/>
        <v>6.1762583333333332</v>
      </c>
    </row>
    <row r="1075" spans="1:11" ht="15">
      <c r="A1075" s="3">
        <v>2040</v>
      </c>
      <c r="B1075" s="63">
        <f t="shared" ref="B1075:K1075" si="25">AVERAGE(B317:B328)</f>
        <v>5.1875999999999998</v>
      </c>
      <c r="C1075" s="63">
        <f t="shared" si="25"/>
        <v>5.1875999999999998</v>
      </c>
      <c r="D1075" s="63">
        <f t="shared" si="25"/>
        <v>5.1909750000000008</v>
      </c>
      <c r="E1075" s="63">
        <f t="shared" si="25"/>
        <v>6.3228333333333326</v>
      </c>
      <c r="F1075" s="63">
        <f t="shared" si="25"/>
        <v>6.3228333333333326</v>
      </c>
      <c r="G1075" s="63">
        <f t="shared" si="25"/>
        <v>6.3269833333333336</v>
      </c>
      <c r="H1075" s="63">
        <f t="shared" si="25"/>
        <v>10.556541666666666</v>
      </c>
      <c r="I1075" s="63">
        <f t="shared" si="25"/>
        <v>10.560683333333333</v>
      </c>
      <c r="J1075" s="63">
        <f t="shared" si="25"/>
        <v>6.3228333333333326</v>
      </c>
      <c r="K1075" s="63">
        <f t="shared" si="25"/>
        <v>6.3269833333333336</v>
      </c>
    </row>
    <row r="1076" spans="1:11" ht="15">
      <c r="A1076" s="3">
        <v>2041</v>
      </c>
      <c r="B1076" s="63">
        <f t="shared" ref="B1076:K1076" si="26">AVERAGE(B329:B340)</f>
        <v>5.324349999999999</v>
      </c>
      <c r="C1076" s="63">
        <f t="shared" si="26"/>
        <v>5.324349999999999</v>
      </c>
      <c r="D1076" s="63">
        <f t="shared" si="26"/>
        <v>5.3277249999999992</v>
      </c>
      <c r="E1076" s="63">
        <f t="shared" si="26"/>
        <v>6.4772500000000006</v>
      </c>
      <c r="F1076" s="63">
        <f t="shared" si="26"/>
        <v>6.4772500000000006</v>
      </c>
      <c r="G1076" s="63">
        <f t="shared" si="26"/>
        <v>6.4813999999999981</v>
      </c>
      <c r="H1076" s="63">
        <f t="shared" si="26"/>
        <v>10.823500000000001</v>
      </c>
      <c r="I1076" s="63">
        <f t="shared" si="26"/>
        <v>10.827624999999999</v>
      </c>
      <c r="J1076" s="63">
        <f t="shared" si="26"/>
        <v>6.4772500000000006</v>
      </c>
      <c r="K1076" s="63">
        <f t="shared" si="26"/>
        <v>6.4813999999999981</v>
      </c>
    </row>
    <row r="1077" spans="1:11" ht="15">
      <c r="A1077" s="3">
        <v>2042</v>
      </c>
      <c r="B1077" s="63">
        <f t="shared" ref="B1077:K1077" si="27">AVERAGE(B341:B352)</f>
        <v>5.4647166666666651</v>
      </c>
      <c r="C1077" s="63">
        <f t="shared" si="27"/>
        <v>5.4647166666666651</v>
      </c>
      <c r="D1077" s="63">
        <f t="shared" si="27"/>
        <v>5.4680916666666661</v>
      </c>
      <c r="E1077" s="63">
        <f t="shared" si="27"/>
        <v>6.6354583333333323</v>
      </c>
      <c r="F1077" s="63">
        <f t="shared" si="27"/>
        <v>6.6354583333333323</v>
      </c>
      <c r="G1077" s="63">
        <f t="shared" si="27"/>
        <v>6.6396000000000006</v>
      </c>
      <c r="H1077" s="63">
        <f t="shared" si="27"/>
        <v>11.097200000000001</v>
      </c>
      <c r="I1077" s="63">
        <f t="shared" si="27"/>
        <v>11.10134166666667</v>
      </c>
      <c r="J1077" s="63">
        <f t="shared" si="27"/>
        <v>6.6354583333333323</v>
      </c>
      <c r="K1077" s="63">
        <f t="shared" si="27"/>
        <v>6.6396000000000006</v>
      </c>
    </row>
    <row r="1078" spans="1:11" ht="15">
      <c r="A1078" s="3">
        <v>2043</v>
      </c>
      <c r="B1078" s="63">
        <f t="shared" ref="B1078:K1078" si="28">AVERAGE(B353:B364)</f>
        <v>5.6088500000000003</v>
      </c>
      <c r="C1078" s="63">
        <f t="shared" si="28"/>
        <v>5.6088500000000003</v>
      </c>
      <c r="D1078" s="63">
        <f t="shared" si="28"/>
        <v>5.6122249999999996</v>
      </c>
      <c r="E1078" s="63">
        <f t="shared" si="28"/>
        <v>6.7975583333333347</v>
      </c>
      <c r="F1078" s="63">
        <f t="shared" si="28"/>
        <v>6.7975583333333347</v>
      </c>
      <c r="G1078" s="63">
        <f t="shared" si="28"/>
        <v>6.8016999999999994</v>
      </c>
      <c r="H1078" s="63">
        <f t="shared" si="28"/>
        <v>11.377841666666667</v>
      </c>
      <c r="I1078" s="63">
        <f t="shared" si="28"/>
        <v>11.381966666666669</v>
      </c>
      <c r="J1078" s="63">
        <f t="shared" si="28"/>
        <v>6.7975583333333347</v>
      </c>
      <c r="K1078" s="63">
        <f t="shared" si="28"/>
        <v>6.8016999999999994</v>
      </c>
    </row>
    <row r="1079" spans="1:11" ht="15">
      <c r="A1079" s="3">
        <v>2044</v>
      </c>
      <c r="B1079" s="63">
        <f t="shared" ref="B1079:K1079" si="29">AVERAGE(B365:B376)</f>
        <v>5.7567750000000011</v>
      </c>
      <c r="C1079" s="63">
        <f t="shared" si="29"/>
        <v>5.7567750000000011</v>
      </c>
      <c r="D1079" s="63">
        <f t="shared" si="29"/>
        <v>5.7601583333333339</v>
      </c>
      <c r="E1079" s="63">
        <f t="shared" si="29"/>
        <v>6.9636083333333332</v>
      </c>
      <c r="F1079" s="63">
        <f t="shared" si="29"/>
        <v>6.9636083333333332</v>
      </c>
      <c r="G1079" s="63">
        <f t="shared" si="29"/>
        <v>6.967766666666666</v>
      </c>
      <c r="H1079" s="63">
        <f t="shared" si="29"/>
        <v>11.665550000000001</v>
      </c>
      <c r="I1079" s="63">
        <f t="shared" si="29"/>
        <v>11.669700000000001</v>
      </c>
      <c r="J1079" s="63">
        <f t="shared" si="29"/>
        <v>6.9636083333333332</v>
      </c>
      <c r="K1079" s="63">
        <f t="shared" si="29"/>
        <v>6.967766666666666</v>
      </c>
    </row>
    <row r="1080" spans="1:11" ht="15">
      <c r="A1080" s="3">
        <v>2045</v>
      </c>
      <c r="B1080" s="63">
        <f t="shared" ref="B1080:K1080" si="30">AVERAGE(B377:B388)</f>
        <v>5.9086583333333325</v>
      </c>
      <c r="C1080" s="63">
        <f t="shared" si="30"/>
        <v>5.9086583333333325</v>
      </c>
      <c r="D1080" s="63">
        <f t="shared" si="30"/>
        <v>5.9120333333333326</v>
      </c>
      <c r="E1080" s="63">
        <f t="shared" si="30"/>
        <v>7.13375</v>
      </c>
      <c r="F1080" s="63">
        <f t="shared" si="30"/>
        <v>7.13375</v>
      </c>
      <c r="G1080" s="63">
        <f t="shared" si="30"/>
        <v>7.137900000000001</v>
      </c>
      <c r="H1080" s="63">
        <f t="shared" si="30"/>
        <v>11.960566666666667</v>
      </c>
      <c r="I1080" s="63">
        <f t="shared" si="30"/>
        <v>11.964700000000001</v>
      </c>
      <c r="J1080" s="63">
        <f t="shared" si="30"/>
        <v>7.13375</v>
      </c>
      <c r="K1080" s="63">
        <f t="shared" si="30"/>
        <v>7.137900000000001</v>
      </c>
    </row>
    <row r="1081" spans="1:11" ht="15">
      <c r="A1081" s="3">
        <v>2046</v>
      </c>
      <c r="B1081" s="63">
        <f t="shared" ref="B1081:K1081" si="31">AVERAGE(B389:B400)</f>
        <v>6.0645833333333341</v>
      </c>
      <c r="C1081" s="63">
        <f t="shared" si="31"/>
        <v>6.0645833333333341</v>
      </c>
      <c r="D1081" s="63">
        <f t="shared" si="31"/>
        <v>6.067966666666667</v>
      </c>
      <c r="E1081" s="63">
        <f t="shared" si="31"/>
        <v>7.308083333333335</v>
      </c>
      <c r="F1081" s="63">
        <f t="shared" si="31"/>
        <v>7.308083333333335</v>
      </c>
      <c r="G1081" s="63">
        <f t="shared" si="31"/>
        <v>7.3122083333333343</v>
      </c>
      <c r="H1081" s="63">
        <f t="shared" si="31"/>
        <v>12.263041666666666</v>
      </c>
      <c r="I1081" s="63">
        <f t="shared" si="31"/>
        <v>12.267175000000002</v>
      </c>
      <c r="J1081" s="63">
        <f t="shared" si="31"/>
        <v>7.308083333333335</v>
      </c>
      <c r="K1081" s="63">
        <f t="shared" si="31"/>
        <v>7.3122083333333343</v>
      </c>
    </row>
    <row r="1082" spans="1:11" ht="15">
      <c r="A1082" s="3">
        <v>2047</v>
      </c>
      <c r="B1082" s="63">
        <f t="shared" ref="B1082:K1082" si="32">AVERAGE(B401:B412)</f>
        <v>6.2246583333333332</v>
      </c>
      <c r="C1082" s="63">
        <f t="shared" si="32"/>
        <v>6.2246583333333332</v>
      </c>
      <c r="D1082" s="63">
        <f t="shared" si="32"/>
        <v>6.2280583333333333</v>
      </c>
      <c r="E1082" s="63">
        <f t="shared" si="32"/>
        <v>7.4866750000000009</v>
      </c>
      <c r="F1082" s="63">
        <f t="shared" si="32"/>
        <v>7.4866750000000009</v>
      </c>
      <c r="G1082" s="63">
        <f t="shared" si="32"/>
        <v>7.4907833333333329</v>
      </c>
      <c r="H1082" s="63">
        <f t="shared" si="32"/>
        <v>12.573133333333333</v>
      </c>
      <c r="I1082" s="63">
        <f t="shared" si="32"/>
        <v>12.577291666666667</v>
      </c>
      <c r="J1082" s="63">
        <f t="shared" si="32"/>
        <v>7.4866750000000009</v>
      </c>
      <c r="K1082" s="63">
        <f t="shared" si="32"/>
        <v>7.4907833333333329</v>
      </c>
    </row>
    <row r="1083" spans="1:11" ht="15">
      <c r="A1083" s="3">
        <v>2048</v>
      </c>
      <c r="B1083" s="63">
        <f t="shared" ref="B1083:K1083" si="33">AVERAGE(B413:B424)</f>
        <v>6.3890083333333338</v>
      </c>
      <c r="C1083" s="63">
        <f t="shared" si="33"/>
        <v>6.3890083333333338</v>
      </c>
      <c r="D1083" s="63">
        <f t="shared" si="33"/>
        <v>6.3923999999999994</v>
      </c>
      <c r="E1083" s="63">
        <f t="shared" si="33"/>
        <v>7.6696083333333327</v>
      </c>
      <c r="F1083" s="63">
        <f t="shared" si="33"/>
        <v>7.6696083333333327</v>
      </c>
      <c r="G1083" s="63">
        <f t="shared" si="33"/>
        <v>7.6737666666666682</v>
      </c>
      <c r="H1083" s="63">
        <f t="shared" si="33"/>
        <v>12.891116666666667</v>
      </c>
      <c r="I1083" s="63">
        <f t="shared" si="33"/>
        <v>12.895233333333332</v>
      </c>
      <c r="J1083" s="63">
        <f t="shared" si="33"/>
        <v>7.6696083333333327</v>
      </c>
      <c r="K1083" s="63">
        <f t="shared" si="33"/>
        <v>7.6737666666666682</v>
      </c>
    </row>
    <row r="1084" spans="1:11" ht="15">
      <c r="A1084" s="3">
        <v>2049</v>
      </c>
      <c r="B1084" s="63">
        <f t="shared" ref="B1084:K1084" si="34">AVERAGE(B425:B436)</f>
        <v>6.5577333333333323</v>
      </c>
      <c r="C1084" s="63">
        <f t="shared" si="34"/>
        <v>6.5577333333333323</v>
      </c>
      <c r="D1084" s="63">
        <f t="shared" si="34"/>
        <v>6.5611416666666669</v>
      </c>
      <c r="E1084" s="63">
        <f t="shared" si="34"/>
        <v>7.8570916666666655</v>
      </c>
      <c r="F1084" s="63">
        <f t="shared" si="34"/>
        <v>7.8570916666666655</v>
      </c>
      <c r="G1084" s="63">
        <f t="shared" si="34"/>
        <v>7.8612416666666673</v>
      </c>
      <c r="H1084" s="63">
        <f t="shared" si="34"/>
        <v>13.217100000000002</v>
      </c>
      <c r="I1084" s="63">
        <f t="shared" si="34"/>
        <v>13.221225000000002</v>
      </c>
      <c r="J1084" s="63">
        <f t="shared" si="34"/>
        <v>7.8570916666666655</v>
      </c>
      <c r="K1084" s="63">
        <f t="shared" si="34"/>
        <v>7.8612416666666673</v>
      </c>
    </row>
    <row r="1085" spans="1:11" ht="15">
      <c r="A1085" s="3">
        <v>2050</v>
      </c>
      <c r="B1085" s="63">
        <f t="shared" ref="B1085:K1085" si="35">AVERAGE(B437:B448)</f>
        <v>6.7309499999999991</v>
      </c>
      <c r="C1085" s="63">
        <f t="shared" si="35"/>
        <v>6.7309499999999991</v>
      </c>
      <c r="D1085" s="63">
        <f t="shared" si="35"/>
        <v>6.7343416666666664</v>
      </c>
      <c r="E1085" s="63">
        <f t="shared" si="35"/>
        <v>8.0491666666666681</v>
      </c>
      <c r="F1085" s="63">
        <f t="shared" si="35"/>
        <v>8.0491666666666681</v>
      </c>
      <c r="G1085" s="63">
        <f t="shared" si="35"/>
        <v>8.053308333333332</v>
      </c>
      <c r="H1085" s="63">
        <f t="shared" si="35"/>
        <v>13.551349999999999</v>
      </c>
      <c r="I1085" s="63">
        <f t="shared" si="35"/>
        <v>13.555466666666666</v>
      </c>
      <c r="J1085" s="63">
        <f t="shared" si="35"/>
        <v>8.0491666666666681</v>
      </c>
      <c r="K1085" s="63">
        <f t="shared" si="35"/>
        <v>8.053308333333332</v>
      </c>
    </row>
    <row r="1086" spans="1:11" ht="15">
      <c r="A1086" s="3">
        <v>2051</v>
      </c>
      <c r="B1086" s="63">
        <f t="shared" ref="B1086:K1086" si="36">AVERAGE(B449:B460)</f>
        <v>6.9087916666666667</v>
      </c>
      <c r="C1086" s="63">
        <f t="shared" si="36"/>
        <v>6.9087916666666667</v>
      </c>
      <c r="D1086" s="63">
        <f t="shared" si="36"/>
        <v>6.9121666666666668</v>
      </c>
      <c r="E1086" s="63">
        <f t="shared" si="36"/>
        <v>8.2459583333333324</v>
      </c>
      <c r="F1086" s="63">
        <f t="shared" si="36"/>
        <v>8.2459583333333324</v>
      </c>
      <c r="G1086" s="63">
        <f t="shared" si="36"/>
        <v>8.2501000000000015</v>
      </c>
      <c r="H1086" s="63">
        <f t="shared" si="36"/>
        <v>13.894016666666666</v>
      </c>
      <c r="I1086" s="63">
        <f t="shared" si="36"/>
        <v>13.898158333333333</v>
      </c>
      <c r="J1086" s="63">
        <f t="shared" si="36"/>
        <v>8.2459583333333324</v>
      </c>
      <c r="K1086" s="63">
        <f t="shared" si="36"/>
        <v>8.2501000000000015</v>
      </c>
    </row>
    <row r="1087" spans="1:11" ht="15">
      <c r="A1087" s="3">
        <v>2052</v>
      </c>
      <c r="B1087" s="63">
        <f t="shared" ref="B1087:K1087" si="37">AVERAGE(B461:B472)</f>
        <v>7.0913833333333329</v>
      </c>
      <c r="C1087" s="63">
        <f t="shared" si="37"/>
        <v>7.0913833333333329</v>
      </c>
      <c r="D1087" s="63">
        <f t="shared" si="37"/>
        <v>7.0947583333333322</v>
      </c>
      <c r="E1087" s="63">
        <f t="shared" si="37"/>
        <v>8.4475583333333333</v>
      </c>
      <c r="F1087" s="63">
        <f t="shared" si="37"/>
        <v>8.4475583333333333</v>
      </c>
      <c r="G1087" s="63">
        <f t="shared" si="37"/>
        <v>8.4517166666666679</v>
      </c>
      <c r="H1087" s="63">
        <f t="shared" si="37"/>
        <v>14.245383333333331</v>
      </c>
      <c r="I1087" s="63">
        <f t="shared" si="37"/>
        <v>14.249525</v>
      </c>
      <c r="J1087" s="63">
        <f t="shared" si="37"/>
        <v>8.4475583333333333</v>
      </c>
      <c r="K1087" s="63">
        <f t="shared" si="37"/>
        <v>8.4517166666666679</v>
      </c>
    </row>
    <row r="1088" spans="1:11" ht="15">
      <c r="A1088" s="3">
        <v>2053</v>
      </c>
      <c r="B1088" s="63">
        <f t="shared" ref="B1088:K1088" si="38">AVERAGE(B473:B484)</f>
        <v>7.2788166666666667</v>
      </c>
      <c r="C1088" s="63">
        <f t="shared" si="38"/>
        <v>7.2788166666666667</v>
      </c>
      <c r="D1088" s="63">
        <f t="shared" si="38"/>
        <v>7.2822083333333332</v>
      </c>
      <c r="E1088" s="63">
        <f t="shared" si="38"/>
        <v>8.6541250000000005</v>
      </c>
      <c r="F1088" s="63">
        <f t="shared" si="38"/>
        <v>8.6541250000000005</v>
      </c>
      <c r="G1088" s="63">
        <f t="shared" si="38"/>
        <v>8.6582833333333333</v>
      </c>
      <c r="H1088" s="63">
        <f t="shared" si="38"/>
        <v>14.605633333333332</v>
      </c>
      <c r="I1088" s="63">
        <f t="shared" si="38"/>
        <v>14.609775000000001</v>
      </c>
      <c r="J1088" s="63">
        <f t="shared" si="38"/>
        <v>8.6541250000000005</v>
      </c>
      <c r="K1088" s="63">
        <f t="shared" si="38"/>
        <v>8.6582833333333333</v>
      </c>
    </row>
    <row r="1089" spans="1:11" ht="15">
      <c r="A1089" s="3">
        <v>2054</v>
      </c>
      <c r="B1089" s="63">
        <f t="shared" ref="B1089:K1089" si="39">AVERAGE(B485:B496)</f>
        <v>7.4712500000000004</v>
      </c>
      <c r="C1089" s="63">
        <f t="shared" si="39"/>
        <v>7.4712500000000004</v>
      </c>
      <c r="D1089" s="63">
        <f t="shared" si="39"/>
        <v>7.4746416666666669</v>
      </c>
      <c r="E1089" s="63">
        <f t="shared" si="39"/>
        <v>8.8657833333333329</v>
      </c>
      <c r="F1089" s="63">
        <f t="shared" si="39"/>
        <v>8.8657833333333329</v>
      </c>
      <c r="G1089" s="63">
        <f t="shared" si="39"/>
        <v>8.8699166666666667</v>
      </c>
      <c r="H1089" s="63">
        <f t="shared" si="39"/>
        <v>14.974983333333332</v>
      </c>
      <c r="I1089" s="63">
        <f t="shared" si="39"/>
        <v>14.979133333333332</v>
      </c>
      <c r="J1089" s="63">
        <f t="shared" si="39"/>
        <v>8.8657833333333329</v>
      </c>
      <c r="K1089" s="63">
        <f t="shared" si="39"/>
        <v>8.8699166666666667</v>
      </c>
    </row>
    <row r="1090" spans="1:11" ht="15">
      <c r="A1090" s="3">
        <v>2055</v>
      </c>
      <c r="B1090" s="63">
        <f t="shared" ref="B1090:K1090" si="40">AVERAGE(B17:B508)</f>
        <v>4.7972563008130082</v>
      </c>
      <c r="C1090" s="63">
        <f t="shared" si="40"/>
        <v>4.7979227642276419</v>
      </c>
      <c r="D1090" s="63">
        <f t="shared" si="40"/>
        <v>4.8013058943089391</v>
      </c>
      <c r="E1090" s="63">
        <f t="shared" si="40"/>
        <v>5.7651205284552844</v>
      </c>
      <c r="F1090" s="63">
        <f t="shared" si="40"/>
        <v>5.7676485772357715</v>
      </c>
      <c r="G1090" s="63">
        <f t="shared" si="40"/>
        <v>5.7717926829268338</v>
      </c>
      <c r="H1090" s="63">
        <f t="shared" si="40"/>
        <v>9.7295359756097497</v>
      </c>
      <c r="I1090" s="63">
        <f t="shared" si="40"/>
        <v>9.7336754065040711</v>
      </c>
      <c r="J1090" s="63">
        <f t="shared" si="40"/>
        <v>5.7651205284552844</v>
      </c>
      <c r="K1090" s="63">
        <f t="shared" si="40"/>
        <v>5.7692644308943128</v>
      </c>
    </row>
    <row r="1091" spans="1:11" ht="15">
      <c r="A1091" s="3">
        <v>2056</v>
      </c>
      <c r="B1091" s="63">
        <f t="shared" ref="B1091:K1091" si="41">AVERAGE(B509:B520)</f>
        <v>7.8716833333333343</v>
      </c>
      <c r="C1091" s="63">
        <f t="shared" si="41"/>
        <v>7.8716833333333343</v>
      </c>
      <c r="D1091" s="63">
        <f t="shared" si="41"/>
        <v>7.8750999999999998</v>
      </c>
      <c r="E1091" s="63">
        <f t="shared" si="41"/>
        <v>9.3047749999999994</v>
      </c>
      <c r="F1091" s="63">
        <f t="shared" si="41"/>
        <v>9.3047749999999994</v>
      </c>
      <c r="G1091" s="63">
        <f t="shared" si="41"/>
        <v>9.3089250000000003</v>
      </c>
      <c r="H1091" s="63">
        <f t="shared" si="41"/>
        <v>15.741966666666665</v>
      </c>
      <c r="I1091" s="63">
        <f t="shared" si="41"/>
        <v>15.746091666666667</v>
      </c>
      <c r="J1091" s="63">
        <f t="shared" si="41"/>
        <v>9.3047749999999994</v>
      </c>
      <c r="K1091" s="63">
        <f t="shared" si="41"/>
        <v>9.3089250000000003</v>
      </c>
    </row>
    <row r="1092" spans="1:11" ht="15">
      <c r="A1092" s="3">
        <v>2057</v>
      </c>
      <c r="B1092" s="63">
        <f t="shared" ref="B1092:K1092" si="42">AVERAGE(B521:B532)</f>
        <v>8.079958333333332</v>
      </c>
      <c r="C1092" s="63">
        <f t="shared" si="42"/>
        <v>8.079958333333332</v>
      </c>
      <c r="D1092" s="63">
        <f t="shared" si="42"/>
        <v>8.0833416666666658</v>
      </c>
      <c r="E1092" s="63">
        <f t="shared" si="42"/>
        <v>9.5323916666666673</v>
      </c>
      <c r="F1092" s="63">
        <f t="shared" si="42"/>
        <v>9.5323916666666673</v>
      </c>
      <c r="G1092" s="63">
        <f t="shared" si="42"/>
        <v>9.5365499999999983</v>
      </c>
      <c r="H1092" s="63">
        <f t="shared" si="42"/>
        <v>16.140033333333335</v>
      </c>
      <c r="I1092" s="63">
        <f t="shared" si="42"/>
        <v>16.144183333333334</v>
      </c>
      <c r="J1092" s="63">
        <f t="shared" si="42"/>
        <v>9.5323916666666673</v>
      </c>
      <c r="K1092" s="63">
        <f t="shared" si="42"/>
        <v>9.5365499999999983</v>
      </c>
    </row>
    <row r="1093" spans="1:11" ht="15">
      <c r="A1093" s="3">
        <v>2058</v>
      </c>
      <c r="B1093" s="63">
        <f t="shared" ref="B1093:K1093" si="43">AVERAGE(B533:B544)</f>
        <v>8.2937916666666691</v>
      </c>
      <c r="C1093" s="63">
        <f t="shared" si="43"/>
        <v>8.2937916666666691</v>
      </c>
      <c r="D1093" s="63">
        <f t="shared" si="43"/>
        <v>8.2971750000000011</v>
      </c>
      <c r="E1093" s="63">
        <f t="shared" si="43"/>
        <v>9.7656249999999982</v>
      </c>
      <c r="F1093" s="63">
        <f t="shared" si="43"/>
        <v>9.7656249999999982</v>
      </c>
      <c r="G1093" s="63">
        <f t="shared" si="43"/>
        <v>9.7697749999999974</v>
      </c>
      <c r="H1093" s="63">
        <f t="shared" si="43"/>
        <v>16.548199999999998</v>
      </c>
      <c r="I1093" s="63">
        <f t="shared" si="43"/>
        <v>16.552316666666666</v>
      </c>
      <c r="J1093" s="63">
        <f t="shared" si="43"/>
        <v>9.7656249999999982</v>
      </c>
      <c r="K1093" s="63">
        <f t="shared" si="43"/>
        <v>9.7697749999999974</v>
      </c>
    </row>
    <row r="1094" spans="1:11" ht="15">
      <c r="A1094" s="3">
        <v>2059</v>
      </c>
      <c r="B1094" s="63">
        <f t="shared" ref="B1094:K1094" si="44">AVERAGE(B545:B556)</f>
        <v>8.513325</v>
      </c>
      <c r="C1094" s="63">
        <f t="shared" si="44"/>
        <v>8.513325</v>
      </c>
      <c r="D1094" s="63">
        <f t="shared" si="44"/>
        <v>8.5167000000000019</v>
      </c>
      <c r="E1094" s="63">
        <f t="shared" si="44"/>
        <v>10.004574999999999</v>
      </c>
      <c r="F1094" s="63">
        <f t="shared" si="44"/>
        <v>10.004574999999999</v>
      </c>
      <c r="G1094" s="63">
        <f t="shared" si="44"/>
        <v>10.008716666666666</v>
      </c>
      <c r="H1094" s="63">
        <f t="shared" si="44"/>
        <v>16.966683333333329</v>
      </c>
      <c r="I1094" s="63">
        <f t="shared" si="44"/>
        <v>16.970816666666668</v>
      </c>
      <c r="J1094" s="63">
        <f t="shared" si="44"/>
        <v>10.004574999999999</v>
      </c>
      <c r="K1094" s="63">
        <f t="shared" si="44"/>
        <v>10.008716666666666</v>
      </c>
    </row>
    <row r="1095" spans="1:11" ht="15">
      <c r="A1095" s="3">
        <v>2060</v>
      </c>
      <c r="B1095" s="63">
        <f t="shared" ref="B1095:K1095" si="45">AVERAGE(B557:B568)</f>
        <v>8.738741666666666</v>
      </c>
      <c r="C1095" s="63">
        <f t="shared" si="45"/>
        <v>8.738741666666666</v>
      </c>
      <c r="D1095" s="63">
        <f t="shared" si="45"/>
        <v>8.7421166666666661</v>
      </c>
      <c r="E1095" s="63">
        <f t="shared" si="45"/>
        <v>10.249391666666666</v>
      </c>
      <c r="F1095" s="63">
        <f t="shared" si="45"/>
        <v>10.249391666666666</v>
      </c>
      <c r="G1095" s="63">
        <f t="shared" si="45"/>
        <v>10.253541666666665</v>
      </c>
      <c r="H1095" s="63">
        <f t="shared" si="45"/>
        <v>17.395733333333336</v>
      </c>
      <c r="I1095" s="63">
        <f t="shared" si="45"/>
        <v>17.399866666666664</v>
      </c>
      <c r="J1095" s="63">
        <f t="shared" si="45"/>
        <v>10.249391666666666</v>
      </c>
      <c r="K1095" s="63">
        <f t="shared" si="45"/>
        <v>10.253541666666665</v>
      </c>
    </row>
    <row r="1096" spans="1:11" ht="15">
      <c r="A1096" s="3">
        <v>2061</v>
      </c>
      <c r="B1096" s="63">
        <f t="shared" ref="B1096:K1096" si="46">AVERAGE(B569:B580)</f>
        <v>8.9701666666666657</v>
      </c>
      <c r="C1096" s="63">
        <f t="shared" si="46"/>
        <v>8.9701666666666657</v>
      </c>
      <c r="D1096" s="63">
        <f t="shared" si="46"/>
        <v>8.9735416666666676</v>
      </c>
      <c r="E1096" s="63">
        <f t="shared" si="46"/>
        <v>10.500225000000002</v>
      </c>
      <c r="F1096" s="63">
        <f t="shared" si="46"/>
        <v>10.500225000000002</v>
      </c>
      <c r="G1096" s="63">
        <f t="shared" si="46"/>
        <v>10.504375000000001</v>
      </c>
      <c r="H1096" s="63">
        <f t="shared" si="46"/>
        <v>17.835633333333334</v>
      </c>
      <c r="I1096" s="63">
        <f t="shared" si="46"/>
        <v>17.8398</v>
      </c>
      <c r="J1096" s="63">
        <f t="shared" si="46"/>
        <v>10.500225000000002</v>
      </c>
      <c r="K1096" s="63">
        <f t="shared" si="46"/>
        <v>10.504375000000001</v>
      </c>
    </row>
    <row r="1097" spans="1:11" ht="15">
      <c r="A1097" s="3">
        <v>2062</v>
      </c>
      <c r="B1097" s="63">
        <f t="shared" ref="B1097:K1106" ca="1" si="47">AVERAGE(OFFSET(B$581,($A1097-$A$1097)*12,0,12,1))</f>
        <v>9.2077833333333352</v>
      </c>
      <c r="C1097" s="63">
        <f t="shared" ca="1" si="47"/>
        <v>9.2077833333333352</v>
      </c>
      <c r="D1097" s="63">
        <f t="shared" ca="1" si="47"/>
        <v>9.2111750000000008</v>
      </c>
      <c r="E1097" s="63">
        <f t="shared" ca="1" si="47"/>
        <v>10.757233333333332</v>
      </c>
      <c r="F1097" s="63">
        <f t="shared" ca="1" si="47"/>
        <v>10.757233333333332</v>
      </c>
      <c r="G1097" s="63">
        <f t="shared" ca="1" si="47"/>
        <v>10.761391666666668</v>
      </c>
      <c r="H1097" s="63">
        <f t="shared" ca="1" si="47"/>
        <v>18.286683333333333</v>
      </c>
      <c r="I1097" s="63">
        <f t="shared" ca="1" si="47"/>
        <v>18.290816666666668</v>
      </c>
      <c r="J1097" s="63">
        <f t="shared" ca="1" si="47"/>
        <v>10.757233333333332</v>
      </c>
      <c r="K1097" s="63">
        <f t="shared" ca="1" si="47"/>
        <v>10.761391666666668</v>
      </c>
    </row>
    <row r="1098" spans="1:11" ht="15">
      <c r="A1098" s="3">
        <v>2063</v>
      </c>
      <c r="B1098" s="63">
        <f t="shared" ca="1" si="47"/>
        <v>9.4453666666666667</v>
      </c>
      <c r="C1098" s="63">
        <f t="shared" ca="1" si="47"/>
        <v>9.4453666666666667</v>
      </c>
      <c r="D1098" s="63">
        <f t="shared" ca="1" si="47"/>
        <v>9.4487583333333323</v>
      </c>
      <c r="E1098" s="63">
        <f t="shared" ca="1" si="47"/>
        <v>11.014258333333332</v>
      </c>
      <c r="F1098" s="63">
        <f t="shared" ca="1" si="47"/>
        <v>11.014258333333332</v>
      </c>
      <c r="G1098" s="63">
        <f t="shared" ca="1" si="47"/>
        <v>11.018408333333335</v>
      </c>
      <c r="H1098" s="63">
        <f t="shared" ca="1" si="47"/>
        <v>18.7377</v>
      </c>
      <c r="I1098" s="63">
        <f t="shared" ca="1" si="47"/>
        <v>18.741866666666667</v>
      </c>
      <c r="J1098" s="63">
        <f t="shared" ca="1" si="47"/>
        <v>11.014258333333332</v>
      </c>
      <c r="K1098" s="63">
        <f t="shared" ca="1" si="47"/>
        <v>11.018408333333335</v>
      </c>
    </row>
    <row r="1099" spans="1:11" ht="15">
      <c r="A1099" s="3">
        <v>2064</v>
      </c>
      <c r="B1099" s="63">
        <f t="shared" ca="1" si="47"/>
        <v>9.6830083333333334</v>
      </c>
      <c r="C1099" s="63">
        <f t="shared" ca="1" si="47"/>
        <v>9.6830083333333334</v>
      </c>
      <c r="D1099" s="63">
        <f t="shared" ca="1" si="47"/>
        <v>9.6863916666666672</v>
      </c>
      <c r="E1099" s="63">
        <f t="shared" ca="1" si="47"/>
        <v>11.271266666666667</v>
      </c>
      <c r="F1099" s="63">
        <f t="shared" ca="1" si="47"/>
        <v>11.271266666666667</v>
      </c>
      <c r="G1099" s="63">
        <f t="shared" ca="1" si="47"/>
        <v>11.275425</v>
      </c>
      <c r="H1099" s="63">
        <f t="shared" ca="1" si="47"/>
        <v>19.188758333333329</v>
      </c>
      <c r="I1099" s="63">
        <f t="shared" ca="1" si="47"/>
        <v>19.192908333333335</v>
      </c>
      <c r="J1099" s="63">
        <f t="shared" ca="1" si="47"/>
        <v>11.271266666666667</v>
      </c>
      <c r="K1099" s="63">
        <f t="shared" ca="1" si="47"/>
        <v>11.275425</v>
      </c>
    </row>
    <row r="1100" spans="1:11" ht="15">
      <c r="A1100" s="3">
        <v>2065</v>
      </c>
      <c r="B1100" s="63">
        <f t="shared" ca="1" si="47"/>
        <v>9.9206166666666658</v>
      </c>
      <c r="C1100" s="63">
        <f t="shared" ca="1" si="47"/>
        <v>9.9206166666666658</v>
      </c>
      <c r="D1100" s="63">
        <f t="shared" ca="1" si="47"/>
        <v>9.9240083333333313</v>
      </c>
      <c r="E1100" s="63">
        <f t="shared" ca="1" si="47"/>
        <v>11.528291666666666</v>
      </c>
      <c r="F1100" s="63">
        <f t="shared" ca="1" si="47"/>
        <v>11.528291666666666</v>
      </c>
      <c r="G1100" s="63">
        <f t="shared" ca="1" si="47"/>
        <v>11.532416666666668</v>
      </c>
      <c r="H1100" s="63">
        <f t="shared" ca="1" si="47"/>
        <v>19.639800000000005</v>
      </c>
      <c r="I1100" s="63">
        <f t="shared" ca="1" si="47"/>
        <v>19.643933333333333</v>
      </c>
      <c r="J1100" s="63">
        <f t="shared" ca="1" si="47"/>
        <v>11.528291666666666</v>
      </c>
      <c r="K1100" s="63">
        <f t="shared" ca="1" si="47"/>
        <v>11.532416666666668</v>
      </c>
    </row>
    <row r="1101" spans="1:11" ht="15">
      <c r="A1101" s="3">
        <v>2066</v>
      </c>
      <c r="B1101" s="63">
        <f t="shared" ca="1" si="47"/>
        <v>10.158233333333335</v>
      </c>
      <c r="C1101" s="63">
        <f t="shared" ca="1" si="47"/>
        <v>10.158233333333335</v>
      </c>
      <c r="D1101" s="63">
        <f t="shared" ca="1" si="47"/>
        <v>10.161608333333335</v>
      </c>
      <c r="E1101" s="63">
        <f t="shared" ca="1" si="47"/>
        <v>11.785283333333332</v>
      </c>
      <c r="F1101" s="63">
        <f t="shared" ca="1" si="47"/>
        <v>11.785283333333332</v>
      </c>
      <c r="G1101" s="63">
        <f t="shared" ca="1" si="47"/>
        <v>11.789433333333333</v>
      </c>
      <c r="H1101" s="63">
        <f t="shared" ca="1" si="47"/>
        <v>20.090816666666665</v>
      </c>
      <c r="I1101" s="63">
        <f t="shared" ca="1" si="47"/>
        <v>20.094966666666668</v>
      </c>
      <c r="J1101" s="63">
        <f t="shared" ca="1" si="47"/>
        <v>11.785283333333332</v>
      </c>
      <c r="K1101" s="63">
        <f t="shared" ca="1" si="47"/>
        <v>11.789433333333333</v>
      </c>
    </row>
    <row r="1102" spans="1:11" ht="15">
      <c r="A1102" s="3">
        <v>2067</v>
      </c>
      <c r="B1102" s="63">
        <f t="shared" ca="1" si="47"/>
        <v>10.395849999999998</v>
      </c>
      <c r="C1102" s="63">
        <f t="shared" ca="1" si="47"/>
        <v>10.395849999999998</v>
      </c>
      <c r="D1102" s="63">
        <f t="shared" ca="1" si="47"/>
        <v>10.399233333333333</v>
      </c>
      <c r="E1102" s="63">
        <f t="shared" ca="1" si="47"/>
        <v>12.042299999999999</v>
      </c>
      <c r="F1102" s="63">
        <f t="shared" ca="1" si="47"/>
        <v>12.042299999999999</v>
      </c>
      <c r="G1102" s="63">
        <f t="shared" ca="1" si="47"/>
        <v>12.046424999999999</v>
      </c>
      <c r="H1102" s="63">
        <f t="shared" ca="1" si="47"/>
        <v>20.541858333333334</v>
      </c>
      <c r="I1102" s="63">
        <f t="shared" ca="1" si="47"/>
        <v>20.545991666666662</v>
      </c>
      <c r="J1102" s="63">
        <f t="shared" ca="1" si="47"/>
        <v>12.042299999999999</v>
      </c>
      <c r="K1102" s="63">
        <f t="shared" ca="1" si="47"/>
        <v>12.046424999999999</v>
      </c>
    </row>
    <row r="1103" spans="1:11" ht="15">
      <c r="A1103" s="3">
        <v>2068</v>
      </c>
      <c r="B1103" s="63">
        <f t="shared" ca="1" si="47"/>
        <v>10.633449999999998</v>
      </c>
      <c r="C1103" s="63">
        <f t="shared" ca="1" si="47"/>
        <v>10.633449999999998</v>
      </c>
      <c r="D1103" s="63">
        <f t="shared" ca="1" si="47"/>
        <v>10.636833333333334</v>
      </c>
      <c r="E1103" s="63">
        <f t="shared" ca="1" si="47"/>
        <v>12.299291666666669</v>
      </c>
      <c r="F1103" s="63">
        <f t="shared" ca="1" si="47"/>
        <v>12.299291666666669</v>
      </c>
      <c r="G1103" s="63">
        <f t="shared" ca="1" si="47"/>
        <v>12.303466666666667</v>
      </c>
      <c r="H1103" s="63">
        <f t="shared" ca="1" si="47"/>
        <v>20.992891666666669</v>
      </c>
      <c r="I1103" s="63">
        <f t="shared" ca="1" si="47"/>
        <v>20.997050000000005</v>
      </c>
      <c r="J1103" s="63">
        <f t="shared" ca="1" si="47"/>
        <v>12.299291666666669</v>
      </c>
      <c r="K1103" s="63">
        <f t="shared" ca="1" si="47"/>
        <v>12.303466666666667</v>
      </c>
    </row>
    <row r="1104" spans="1:11" ht="15">
      <c r="A1104" s="3">
        <v>2069</v>
      </c>
      <c r="B1104" s="63">
        <f t="shared" ca="1" si="47"/>
        <v>10.871066666666664</v>
      </c>
      <c r="C1104" s="63">
        <f t="shared" ca="1" si="47"/>
        <v>10.871066666666664</v>
      </c>
      <c r="D1104" s="63">
        <f t="shared" ca="1" si="47"/>
        <v>10.874450000000001</v>
      </c>
      <c r="E1104" s="63">
        <f t="shared" ca="1" si="47"/>
        <v>12.556333333333333</v>
      </c>
      <c r="F1104" s="63">
        <f t="shared" ca="1" si="47"/>
        <v>12.556333333333333</v>
      </c>
      <c r="G1104" s="63">
        <f t="shared" ca="1" si="47"/>
        <v>12.560466666666668</v>
      </c>
      <c r="H1104" s="63">
        <f t="shared" ca="1" si="47"/>
        <v>21.443916666666667</v>
      </c>
      <c r="I1104" s="63">
        <f t="shared" ca="1" si="47"/>
        <v>21.448074999999999</v>
      </c>
      <c r="J1104" s="63">
        <f t="shared" ca="1" si="47"/>
        <v>12.556333333333333</v>
      </c>
      <c r="K1104" s="63">
        <f t="shared" ca="1" si="47"/>
        <v>12.560466666666668</v>
      </c>
    </row>
    <row r="1105" spans="1:11" ht="15">
      <c r="A1105" s="3">
        <v>2070</v>
      </c>
      <c r="B1105" s="63">
        <f t="shared" ca="1" si="47"/>
        <v>11.108683333333333</v>
      </c>
      <c r="C1105" s="63">
        <f t="shared" ca="1" si="47"/>
        <v>11.108683333333333</v>
      </c>
      <c r="D1105" s="63">
        <f t="shared" ca="1" si="47"/>
        <v>11.112058333333335</v>
      </c>
      <c r="E1105" s="63">
        <f t="shared" ca="1" si="47"/>
        <v>12.813333333333333</v>
      </c>
      <c r="F1105" s="63">
        <f t="shared" ca="1" si="47"/>
        <v>12.813333333333333</v>
      </c>
      <c r="G1105" s="63">
        <f t="shared" ca="1" si="47"/>
        <v>12.817475000000002</v>
      </c>
      <c r="H1105" s="63">
        <f t="shared" ca="1" si="47"/>
        <v>21.894974999999999</v>
      </c>
      <c r="I1105" s="63">
        <f t="shared" ca="1" si="47"/>
        <v>21.899108333333331</v>
      </c>
      <c r="J1105" s="63">
        <f t="shared" ca="1" si="47"/>
        <v>12.813333333333333</v>
      </c>
      <c r="K1105" s="63">
        <f t="shared" ca="1" si="47"/>
        <v>12.817475000000002</v>
      </c>
    </row>
    <row r="1106" spans="1:11" ht="15">
      <c r="A1106" s="3">
        <v>2071</v>
      </c>
      <c r="B1106" s="63">
        <f t="shared" ca="1" si="47"/>
        <v>11.346308333333333</v>
      </c>
      <c r="C1106" s="63">
        <f t="shared" ca="1" si="47"/>
        <v>11.346308333333333</v>
      </c>
      <c r="D1106" s="63">
        <f t="shared" ca="1" si="47"/>
        <v>11.3497</v>
      </c>
      <c r="E1106" s="63">
        <f t="shared" ca="1" si="47"/>
        <v>13.070333333333332</v>
      </c>
      <c r="F1106" s="63">
        <f t="shared" ca="1" si="47"/>
        <v>13.070333333333332</v>
      </c>
      <c r="G1106" s="63">
        <f t="shared" ca="1" si="47"/>
        <v>13.074475000000001</v>
      </c>
      <c r="H1106" s="63">
        <f t="shared" ca="1" si="47"/>
        <v>22.346016666666667</v>
      </c>
      <c r="I1106" s="63">
        <f t="shared" ca="1" si="47"/>
        <v>22.350141666666669</v>
      </c>
      <c r="J1106" s="63">
        <f t="shared" ca="1" si="47"/>
        <v>13.070333333333332</v>
      </c>
      <c r="K1106" s="63">
        <f t="shared" ca="1" si="47"/>
        <v>13.074475000000001</v>
      </c>
    </row>
    <row r="1107" spans="1:11" ht="15">
      <c r="A1107" s="3">
        <v>2072</v>
      </c>
      <c r="B1107" s="63">
        <f t="shared" ref="B1107:K1116" ca="1" si="48">AVERAGE(OFFSET(B$581,($A1107-$A$1097)*12,0,12,1))</f>
        <v>11.583908333333333</v>
      </c>
      <c r="C1107" s="63">
        <f t="shared" ca="1" si="48"/>
        <v>11.583908333333333</v>
      </c>
      <c r="D1107" s="63">
        <f t="shared" ca="1" si="48"/>
        <v>11.587291666666665</v>
      </c>
      <c r="E1107" s="63">
        <f t="shared" ca="1" si="48"/>
        <v>13.327350000000001</v>
      </c>
      <c r="F1107" s="63">
        <f t="shared" ca="1" si="48"/>
        <v>13.327350000000001</v>
      </c>
      <c r="G1107" s="63">
        <f t="shared" ca="1" si="48"/>
        <v>13.3315</v>
      </c>
      <c r="H1107" s="63">
        <f t="shared" ca="1" si="48"/>
        <v>22.797041666666669</v>
      </c>
      <c r="I1107" s="63">
        <f t="shared" ca="1" si="48"/>
        <v>22.801183333333338</v>
      </c>
      <c r="J1107" s="63">
        <f t="shared" ca="1" si="48"/>
        <v>13.327350000000001</v>
      </c>
      <c r="K1107" s="63">
        <f t="shared" ca="1" si="48"/>
        <v>13.3315</v>
      </c>
    </row>
    <row r="1108" spans="1:11" ht="15">
      <c r="A1108" s="3">
        <v>2073</v>
      </c>
      <c r="B1108" s="63">
        <f t="shared" ca="1" si="48"/>
        <v>11.821525000000001</v>
      </c>
      <c r="C1108" s="63">
        <f t="shared" ca="1" si="48"/>
        <v>11.821525000000001</v>
      </c>
      <c r="D1108" s="63">
        <f t="shared" ca="1" si="48"/>
        <v>11.8249</v>
      </c>
      <c r="E1108" s="63">
        <f t="shared" ca="1" si="48"/>
        <v>13.584366666666666</v>
      </c>
      <c r="F1108" s="63">
        <f t="shared" ca="1" si="48"/>
        <v>13.584366666666666</v>
      </c>
      <c r="G1108" s="63">
        <f t="shared" ca="1" si="48"/>
        <v>13.588508333333335</v>
      </c>
      <c r="H1108" s="63">
        <f t="shared" ca="1" si="48"/>
        <v>23.248075000000004</v>
      </c>
      <c r="I1108" s="63">
        <f t="shared" ca="1" si="48"/>
        <v>23.252216666666669</v>
      </c>
      <c r="J1108" s="63">
        <f t="shared" ca="1" si="48"/>
        <v>13.584366666666666</v>
      </c>
      <c r="K1108" s="63">
        <f t="shared" ca="1" si="48"/>
        <v>13.588508333333335</v>
      </c>
    </row>
    <row r="1109" spans="1:11" ht="15">
      <c r="A1109" s="3">
        <v>2074</v>
      </c>
      <c r="B1109" s="63">
        <f t="shared" ca="1" si="48"/>
        <v>12.059150000000001</v>
      </c>
      <c r="C1109" s="63">
        <f t="shared" ca="1" si="48"/>
        <v>12.059150000000001</v>
      </c>
      <c r="D1109" s="63">
        <f t="shared" ca="1" si="48"/>
        <v>12.062525000000001</v>
      </c>
      <c r="E1109" s="63">
        <f t="shared" ca="1" si="48"/>
        <v>13.841366666666666</v>
      </c>
      <c r="F1109" s="63">
        <f t="shared" ca="1" si="48"/>
        <v>13.841366666666666</v>
      </c>
      <c r="G1109" s="63">
        <f t="shared" ca="1" si="48"/>
        <v>13.845500000000001</v>
      </c>
      <c r="H1109" s="63">
        <f t="shared" ca="1" si="48"/>
        <v>23.699116666666665</v>
      </c>
      <c r="I1109" s="63">
        <f t="shared" ca="1" si="48"/>
        <v>23.703266666666668</v>
      </c>
      <c r="J1109" s="63">
        <f t="shared" ca="1" si="48"/>
        <v>13.841366666666666</v>
      </c>
      <c r="K1109" s="63">
        <f t="shared" ca="1" si="48"/>
        <v>13.845500000000001</v>
      </c>
    </row>
    <row r="1110" spans="1:11" ht="15">
      <c r="A1110" s="3">
        <v>2075</v>
      </c>
      <c r="B1110" s="63">
        <f t="shared" ca="1" si="48"/>
        <v>12.296750000000001</v>
      </c>
      <c r="C1110" s="63">
        <f t="shared" ca="1" si="48"/>
        <v>12.296750000000001</v>
      </c>
      <c r="D1110" s="63">
        <f t="shared" ca="1" si="48"/>
        <v>12.300125</v>
      </c>
      <c r="E1110" s="63">
        <f t="shared" ca="1" si="48"/>
        <v>14.098391666666664</v>
      </c>
      <c r="F1110" s="63">
        <f t="shared" ca="1" si="48"/>
        <v>14.098391666666664</v>
      </c>
      <c r="G1110" s="63">
        <f t="shared" ca="1" si="48"/>
        <v>14.102516666666666</v>
      </c>
      <c r="H1110" s="63">
        <f t="shared" ca="1" si="48"/>
        <v>24.150158333333334</v>
      </c>
      <c r="I1110" s="63">
        <f t="shared" ca="1" si="48"/>
        <v>24.154291666666666</v>
      </c>
      <c r="J1110" s="63">
        <f t="shared" ca="1" si="48"/>
        <v>14.098391666666664</v>
      </c>
      <c r="K1110" s="63">
        <f t="shared" ca="1" si="48"/>
        <v>14.102516666666666</v>
      </c>
    </row>
    <row r="1111" spans="1:11" ht="15">
      <c r="A1111" s="3">
        <v>2076</v>
      </c>
      <c r="B1111" s="63">
        <f t="shared" ca="1" si="48"/>
        <v>12.534383333333331</v>
      </c>
      <c r="C1111" s="63">
        <f t="shared" ca="1" si="48"/>
        <v>12.534383333333331</v>
      </c>
      <c r="D1111" s="63">
        <f t="shared" ca="1" si="48"/>
        <v>12.537758333333331</v>
      </c>
      <c r="E1111" s="63">
        <f t="shared" ca="1" si="48"/>
        <v>14.355391666666668</v>
      </c>
      <c r="F1111" s="63">
        <f t="shared" ca="1" si="48"/>
        <v>14.355391666666668</v>
      </c>
      <c r="G1111" s="63">
        <f t="shared" ca="1" si="48"/>
        <v>14.359533333333331</v>
      </c>
      <c r="H1111" s="63">
        <f t="shared" ca="1" si="48"/>
        <v>24.601200000000002</v>
      </c>
      <c r="I1111" s="63">
        <f t="shared" ca="1" si="48"/>
        <v>24.605324999999997</v>
      </c>
      <c r="J1111" s="63">
        <f t="shared" ca="1" si="48"/>
        <v>14.355391666666668</v>
      </c>
      <c r="K1111" s="63">
        <f t="shared" ca="1" si="48"/>
        <v>14.359533333333331</v>
      </c>
    </row>
    <row r="1112" spans="1:11" ht="15">
      <c r="A1112" s="3">
        <v>2077</v>
      </c>
      <c r="B1112" s="63">
        <f t="shared" ca="1" si="48"/>
        <v>12.771983333333333</v>
      </c>
      <c r="C1112" s="63">
        <f t="shared" ca="1" si="48"/>
        <v>12.771983333333333</v>
      </c>
      <c r="D1112" s="63">
        <f t="shared" ca="1" si="48"/>
        <v>12.775366666666665</v>
      </c>
      <c r="E1112" s="63">
        <f t="shared" ca="1" si="48"/>
        <v>14.612399999999999</v>
      </c>
      <c r="F1112" s="63">
        <f t="shared" ca="1" si="48"/>
        <v>14.612399999999999</v>
      </c>
      <c r="G1112" s="63">
        <f t="shared" ca="1" si="48"/>
        <v>14.616541666666665</v>
      </c>
      <c r="H1112" s="63">
        <f t="shared" ca="1" si="48"/>
        <v>25.052241666666664</v>
      </c>
      <c r="I1112" s="63">
        <f t="shared" ca="1" si="48"/>
        <v>25.056358333333336</v>
      </c>
      <c r="J1112" s="63">
        <f t="shared" ca="1" si="48"/>
        <v>14.612399999999999</v>
      </c>
      <c r="K1112" s="63">
        <f t="shared" ca="1" si="48"/>
        <v>14.616541666666665</v>
      </c>
    </row>
    <row r="1113" spans="1:11" ht="15">
      <c r="A1113" s="3">
        <v>2078</v>
      </c>
      <c r="B1113" s="63">
        <f t="shared" ca="1" si="48"/>
        <v>13.009583333333333</v>
      </c>
      <c r="C1113" s="63">
        <f t="shared" ca="1" si="48"/>
        <v>13.009583333333333</v>
      </c>
      <c r="D1113" s="63">
        <f t="shared" ca="1" si="48"/>
        <v>13.012958333333335</v>
      </c>
      <c r="E1113" s="63">
        <f t="shared" ca="1" si="48"/>
        <v>14.869391666666665</v>
      </c>
      <c r="F1113" s="63">
        <f t="shared" ca="1" si="48"/>
        <v>14.869391666666665</v>
      </c>
      <c r="G1113" s="63">
        <f t="shared" ca="1" si="48"/>
        <v>14.873558333333333</v>
      </c>
      <c r="H1113" s="63">
        <f t="shared" ca="1" si="48"/>
        <v>25.503249999999998</v>
      </c>
      <c r="I1113" s="63">
        <f t="shared" ca="1" si="48"/>
        <v>25.507400000000001</v>
      </c>
      <c r="J1113" s="63">
        <f t="shared" ca="1" si="48"/>
        <v>14.869391666666665</v>
      </c>
      <c r="K1113" s="63">
        <f t="shared" ca="1" si="48"/>
        <v>14.873558333333333</v>
      </c>
    </row>
    <row r="1114" spans="1:11" ht="15">
      <c r="A1114" s="3">
        <v>2079</v>
      </c>
      <c r="B1114" s="63">
        <f t="shared" ca="1" si="48"/>
        <v>13.247225000000002</v>
      </c>
      <c r="C1114" s="63">
        <f t="shared" ca="1" si="48"/>
        <v>13.247225000000002</v>
      </c>
      <c r="D1114" s="63">
        <f t="shared" ca="1" si="48"/>
        <v>13.2506</v>
      </c>
      <c r="E1114" s="63">
        <f t="shared" ca="1" si="48"/>
        <v>15.126424999999999</v>
      </c>
      <c r="F1114" s="63">
        <f t="shared" ca="1" si="48"/>
        <v>15.126424999999999</v>
      </c>
      <c r="G1114" s="63">
        <f t="shared" ca="1" si="48"/>
        <v>15.130549999999999</v>
      </c>
      <c r="H1114" s="63">
        <f t="shared" ca="1" si="48"/>
        <v>25.954283333333333</v>
      </c>
      <c r="I1114" s="63">
        <f t="shared" ca="1" si="48"/>
        <v>25.958433333333335</v>
      </c>
      <c r="J1114" s="63">
        <f t="shared" ca="1" si="48"/>
        <v>15.126424999999999</v>
      </c>
      <c r="K1114" s="63">
        <f t="shared" ca="1" si="48"/>
        <v>15.130549999999999</v>
      </c>
    </row>
    <row r="1115" spans="1:11" ht="15">
      <c r="A1115" s="3">
        <v>2080</v>
      </c>
      <c r="B1115" s="63">
        <f t="shared" ca="1" si="48"/>
        <v>13.484824999999995</v>
      </c>
      <c r="C1115" s="63">
        <f t="shared" ca="1" si="48"/>
        <v>13.484824999999995</v>
      </c>
      <c r="D1115" s="63">
        <f t="shared" ca="1" si="48"/>
        <v>13.488208333333331</v>
      </c>
      <c r="E1115" s="63">
        <f t="shared" ca="1" si="48"/>
        <v>15.383441666666668</v>
      </c>
      <c r="F1115" s="63">
        <f t="shared" ca="1" si="48"/>
        <v>15.383441666666668</v>
      </c>
      <c r="G1115" s="63">
        <f t="shared" ca="1" si="48"/>
        <v>15.387575000000004</v>
      </c>
      <c r="H1115" s="63">
        <f t="shared" ca="1" si="48"/>
        <v>26.405316666666661</v>
      </c>
      <c r="I1115" s="63">
        <f t="shared" ca="1" si="48"/>
        <v>26.409475000000004</v>
      </c>
      <c r="J1115" s="63">
        <f t="shared" ca="1" si="48"/>
        <v>15.383441666666668</v>
      </c>
      <c r="K1115" s="63">
        <f t="shared" ca="1" si="48"/>
        <v>15.387575000000004</v>
      </c>
    </row>
    <row r="1116" spans="1:11" ht="15">
      <c r="A1116" s="3">
        <v>2081</v>
      </c>
      <c r="B1116" s="63">
        <f t="shared" ca="1" si="48"/>
        <v>13.72245</v>
      </c>
      <c r="C1116" s="63">
        <f t="shared" ca="1" si="48"/>
        <v>13.72245</v>
      </c>
      <c r="D1116" s="63">
        <f t="shared" ca="1" si="48"/>
        <v>13.725824999999999</v>
      </c>
      <c r="E1116" s="63">
        <f t="shared" ca="1" si="48"/>
        <v>15.640424999999999</v>
      </c>
      <c r="F1116" s="63">
        <f t="shared" ca="1" si="48"/>
        <v>15.640424999999999</v>
      </c>
      <c r="G1116" s="63">
        <f t="shared" ca="1" si="48"/>
        <v>15.644591666666669</v>
      </c>
      <c r="H1116" s="63">
        <f t="shared" ca="1" si="48"/>
        <v>26.856358333333333</v>
      </c>
      <c r="I1116" s="63">
        <f t="shared" ca="1" si="48"/>
        <v>26.860508333333332</v>
      </c>
      <c r="J1116" s="63">
        <f t="shared" ca="1" si="48"/>
        <v>15.640424999999999</v>
      </c>
      <c r="K1116" s="63">
        <f t="shared" ca="1" si="48"/>
        <v>15.644591666666669</v>
      </c>
    </row>
    <row r="1117" spans="1:11" ht="15">
      <c r="A1117" s="3">
        <v>2082</v>
      </c>
      <c r="B1117" s="63">
        <f t="shared" ref="B1117:K1126" ca="1" si="49">AVERAGE(OFFSET(B$581,($A1117-$A$1097)*12,0,12,1))</f>
        <v>13.960058333333334</v>
      </c>
      <c r="C1117" s="63">
        <f t="shared" ca="1" si="49"/>
        <v>13.960058333333334</v>
      </c>
      <c r="D1117" s="63">
        <f t="shared" ca="1" si="49"/>
        <v>13.963441666666668</v>
      </c>
      <c r="E1117" s="63">
        <f t="shared" ca="1" si="49"/>
        <v>15.897450000000001</v>
      </c>
      <c r="F1117" s="63">
        <f t="shared" ca="1" si="49"/>
        <v>15.897450000000001</v>
      </c>
      <c r="G1117" s="63">
        <f t="shared" ca="1" si="49"/>
        <v>15.901583333333335</v>
      </c>
      <c r="H1117" s="63">
        <f t="shared" ca="1" si="49"/>
        <v>27.307400000000001</v>
      </c>
      <c r="I1117" s="63">
        <f t="shared" ca="1" si="49"/>
        <v>27.311541666666667</v>
      </c>
      <c r="J1117" s="63">
        <f t="shared" ca="1" si="49"/>
        <v>15.897450000000001</v>
      </c>
      <c r="K1117" s="63">
        <f t="shared" ca="1" si="49"/>
        <v>15.901583333333335</v>
      </c>
    </row>
    <row r="1118" spans="1:11" ht="15">
      <c r="A1118" s="3">
        <v>2083</v>
      </c>
      <c r="B1118" s="63">
        <f t="shared" ca="1" si="49"/>
        <v>14.197650000000001</v>
      </c>
      <c r="C1118" s="63">
        <f t="shared" ca="1" si="49"/>
        <v>14.197650000000001</v>
      </c>
      <c r="D1118" s="63">
        <f t="shared" ca="1" si="49"/>
        <v>14.201041666666667</v>
      </c>
      <c r="E1118" s="63">
        <f t="shared" ca="1" si="49"/>
        <v>16.154466666666668</v>
      </c>
      <c r="F1118" s="63">
        <f t="shared" ca="1" si="49"/>
        <v>16.154466666666668</v>
      </c>
      <c r="G1118" s="63">
        <f t="shared" ca="1" si="49"/>
        <v>16.1586</v>
      </c>
      <c r="H1118" s="63">
        <f t="shared" ca="1" si="49"/>
        <v>27.758433333333329</v>
      </c>
      <c r="I1118" s="63">
        <f t="shared" ca="1" si="49"/>
        <v>27.762574999999998</v>
      </c>
      <c r="J1118" s="63">
        <f t="shared" ca="1" si="49"/>
        <v>16.154466666666668</v>
      </c>
      <c r="K1118" s="63">
        <f t="shared" ca="1" si="49"/>
        <v>16.1586</v>
      </c>
    </row>
    <row r="1119" spans="1:11" ht="15">
      <c r="A1119" s="3">
        <v>2084</v>
      </c>
      <c r="B1119" s="63">
        <f t="shared" ca="1" si="49"/>
        <v>14.435274999999997</v>
      </c>
      <c r="C1119" s="63">
        <f t="shared" ca="1" si="49"/>
        <v>14.435274999999997</v>
      </c>
      <c r="D1119" s="63">
        <f t="shared" ca="1" si="49"/>
        <v>14.438658333333331</v>
      </c>
      <c r="E1119" s="63">
        <f t="shared" ca="1" si="49"/>
        <v>16.411466666666669</v>
      </c>
      <c r="F1119" s="63">
        <f t="shared" ca="1" si="49"/>
        <v>16.411466666666669</v>
      </c>
      <c r="G1119" s="63">
        <f t="shared" ca="1" si="49"/>
        <v>16.415600000000001</v>
      </c>
      <c r="H1119" s="63">
        <f t="shared" ca="1" si="49"/>
        <v>28.209475000000001</v>
      </c>
      <c r="I1119" s="63">
        <f t="shared" ca="1" si="49"/>
        <v>28.2136</v>
      </c>
      <c r="J1119" s="63">
        <f t="shared" ca="1" si="49"/>
        <v>16.411466666666669</v>
      </c>
      <c r="K1119" s="63">
        <f t="shared" ca="1" si="49"/>
        <v>16.415600000000001</v>
      </c>
    </row>
    <row r="1120" spans="1:11" ht="15">
      <c r="A1120" s="3">
        <v>2085</v>
      </c>
      <c r="B1120" s="63">
        <f t="shared" ca="1" si="49"/>
        <v>14.672899999999998</v>
      </c>
      <c r="C1120" s="63">
        <f t="shared" ca="1" si="49"/>
        <v>14.672899999999998</v>
      </c>
      <c r="D1120" s="63">
        <f t="shared" ca="1" si="49"/>
        <v>14.676275000000002</v>
      </c>
      <c r="E1120" s="63">
        <f t="shared" ca="1" si="49"/>
        <v>16.668466666666667</v>
      </c>
      <c r="F1120" s="63">
        <f t="shared" ca="1" si="49"/>
        <v>16.668466666666667</v>
      </c>
      <c r="G1120" s="63">
        <f t="shared" ca="1" si="49"/>
        <v>16.672625</v>
      </c>
      <c r="H1120" s="63">
        <f t="shared" ca="1" si="49"/>
        <v>28.660508333333336</v>
      </c>
      <c r="I1120" s="63">
        <f t="shared" ca="1" si="49"/>
        <v>28.664649999999998</v>
      </c>
      <c r="J1120" s="63">
        <f t="shared" ca="1" si="49"/>
        <v>16.668466666666667</v>
      </c>
      <c r="K1120" s="63">
        <f t="shared" ca="1" si="49"/>
        <v>16.672625</v>
      </c>
    </row>
    <row r="1121" spans="1:11" ht="15">
      <c r="A1121" s="3">
        <v>2086</v>
      </c>
      <c r="B1121" s="63">
        <f t="shared" ca="1" si="49"/>
        <v>14.910500000000004</v>
      </c>
      <c r="C1121" s="63">
        <f t="shared" ca="1" si="49"/>
        <v>14.910500000000004</v>
      </c>
      <c r="D1121" s="63">
        <f t="shared" ca="1" si="49"/>
        <v>14.913908333333334</v>
      </c>
      <c r="E1121" s="63">
        <f t="shared" ca="1" si="49"/>
        <v>16.925483333333336</v>
      </c>
      <c r="F1121" s="63">
        <f t="shared" ca="1" si="49"/>
        <v>16.925483333333336</v>
      </c>
      <c r="G1121" s="63">
        <f t="shared" ca="1" si="49"/>
        <v>16.929633333333335</v>
      </c>
      <c r="H1121" s="63">
        <f t="shared" ca="1" si="49"/>
        <v>29.11153333333333</v>
      </c>
      <c r="I1121" s="63">
        <f t="shared" ca="1" si="49"/>
        <v>29.115683333333333</v>
      </c>
      <c r="J1121" s="63">
        <f t="shared" ca="1" si="49"/>
        <v>16.925483333333336</v>
      </c>
      <c r="K1121" s="63">
        <f t="shared" ca="1" si="49"/>
        <v>16.929633333333335</v>
      </c>
    </row>
    <row r="1122" spans="1:11" ht="15">
      <c r="A1122" s="3">
        <v>2087</v>
      </c>
      <c r="B1122" s="63">
        <f t="shared" ca="1" si="49"/>
        <v>15.148116666666667</v>
      </c>
      <c r="C1122" s="63">
        <f t="shared" ca="1" si="49"/>
        <v>15.148116666666667</v>
      </c>
      <c r="D1122" s="63">
        <f t="shared" ca="1" si="49"/>
        <v>15.151491666666667</v>
      </c>
      <c r="E1122" s="63">
        <f t="shared" ca="1" si="49"/>
        <v>17.182508333333335</v>
      </c>
      <c r="F1122" s="63">
        <f t="shared" ca="1" si="49"/>
        <v>17.182508333333335</v>
      </c>
      <c r="G1122" s="63">
        <f t="shared" ca="1" si="49"/>
        <v>17.18664166666667</v>
      </c>
      <c r="H1122" s="63">
        <f t="shared" ca="1" si="49"/>
        <v>29.562583333333333</v>
      </c>
      <c r="I1122" s="63">
        <f t="shared" ca="1" si="49"/>
        <v>29.566716666666668</v>
      </c>
      <c r="J1122" s="63">
        <f t="shared" ca="1" si="49"/>
        <v>17.182508333333335</v>
      </c>
      <c r="K1122" s="63">
        <f t="shared" ca="1" si="49"/>
        <v>17.18664166666667</v>
      </c>
    </row>
    <row r="1123" spans="1:11" ht="15">
      <c r="A1123" s="3">
        <v>2088</v>
      </c>
      <c r="B1123" s="63">
        <f t="shared" ca="1" si="49"/>
        <v>15.385741666666663</v>
      </c>
      <c r="C1123" s="63">
        <f t="shared" ca="1" si="49"/>
        <v>15.385741666666663</v>
      </c>
      <c r="D1123" s="63">
        <f t="shared" ca="1" si="49"/>
        <v>15.389116666666665</v>
      </c>
      <c r="E1123" s="63">
        <f t="shared" ca="1" si="49"/>
        <v>17.439516666666666</v>
      </c>
      <c r="F1123" s="63">
        <f t="shared" ca="1" si="49"/>
        <v>17.439516666666666</v>
      </c>
      <c r="G1123" s="63">
        <f t="shared" ca="1" si="49"/>
        <v>17.443674999999999</v>
      </c>
      <c r="H1123" s="63">
        <f t="shared" ca="1" si="49"/>
        <v>30.013625000000005</v>
      </c>
      <c r="I1123" s="63">
        <f t="shared" ca="1" si="49"/>
        <v>30.017750000000003</v>
      </c>
      <c r="J1123" s="63">
        <f t="shared" ca="1" si="49"/>
        <v>17.439516666666666</v>
      </c>
      <c r="K1123" s="63">
        <f t="shared" ca="1" si="49"/>
        <v>17.443674999999999</v>
      </c>
    </row>
    <row r="1124" spans="1:11" ht="15">
      <c r="A1124" s="3">
        <v>2089</v>
      </c>
      <c r="B1124" s="63">
        <f t="shared" ca="1" si="49"/>
        <v>15.623341666666667</v>
      </c>
      <c r="C1124" s="63">
        <f t="shared" ca="1" si="49"/>
        <v>15.623341666666667</v>
      </c>
      <c r="D1124" s="63">
        <f t="shared" ca="1" si="49"/>
        <v>15.626733333333334</v>
      </c>
      <c r="E1124" s="63">
        <f t="shared" ca="1" si="49"/>
        <v>17.696524999999998</v>
      </c>
      <c r="F1124" s="63">
        <f t="shared" ca="1" si="49"/>
        <v>17.696524999999998</v>
      </c>
      <c r="G1124" s="63">
        <f t="shared" ca="1" si="49"/>
        <v>17.700658333333333</v>
      </c>
      <c r="H1124" s="63">
        <f t="shared" ca="1" si="49"/>
        <v>30.464666666666663</v>
      </c>
      <c r="I1124" s="63">
        <f t="shared" ca="1" si="49"/>
        <v>30.468791666666672</v>
      </c>
      <c r="J1124" s="63">
        <f t="shared" ca="1" si="49"/>
        <v>17.696524999999998</v>
      </c>
      <c r="K1124" s="63">
        <f t="shared" ca="1" si="49"/>
        <v>17.700658333333333</v>
      </c>
    </row>
    <row r="1125" spans="1:11" ht="15">
      <c r="A1125" s="3">
        <v>2090</v>
      </c>
      <c r="B1125" s="63">
        <f t="shared" ca="1" si="49"/>
        <v>15.860966666666668</v>
      </c>
      <c r="C1125" s="63">
        <f t="shared" ca="1" si="49"/>
        <v>15.860966666666668</v>
      </c>
      <c r="D1125" s="63">
        <f t="shared" ca="1" si="49"/>
        <v>15.864341666666666</v>
      </c>
      <c r="E1125" s="63">
        <f t="shared" ca="1" si="49"/>
        <v>17.953533333333333</v>
      </c>
      <c r="F1125" s="63">
        <f t="shared" ca="1" si="49"/>
        <v>17.953533333333333</v>
      </c>
      <c r="G1125" s="63">
        <f t="shared" ca="1" si="49"/>
        <v>17.957658333333335</v>
      </c>
      <c r="H1125" s="63">
        <f t="shared" ca="1" si="49"/>
        <v>30.915683333333337</v>
      </c>
      <c r="I1125" s="63">
        <f t="shared" ca="1" si="49"/>
        <v>30.919841666666667</v>
      </c>
      <c r="J1125" s="63">
        <f t="shared" ca="1" si="49"/>
        <v>17.953533333333333</v>
      </c>
      <c r="K1125" s="63">
        <f t="shared" ca="1" si="49"/>
        <v>17.957658333333335</v>
      </c>
    </row>
    <row r="1126" spans="1:11" ht="15">
      <c r="A1126" s="3">
        <v>2091</v>
      </c>
      <c r="B1126" s="63">
        <f t="shared" ca="1" si="49"/>
        <v>16.098591666666668</v>
      </c>
      <c r="C1126" s="63">
        <f t="shared" ca="1" si="49"/>
        <v>16.098591666666668</v>
      </c>
      <c r="D1126" s="63">
        <f t="shared" ca="1" si="49"/>
        <v>16.101975000000003</v>
      </c>
      <c r="E1126" s="63">
        <f t="shared" ca="1" si="49"/>
        <v>18.210533333333338</v>
      </c>
      <c r="F1126" s="63">
        <f t="shared" ca="1" si="49"/>
        <v>18.210533333333338</v>
      </c>
      <c r="G1126" s="63">
        <f t="shared" ca="1" si="49"/>
        <v>18.214683333333333</v>
      </c>
      <c r="H1126" s="63">
        <f t="shared" ca="1" si="49"/>
        <v>31.366708333333332</v>
      </c>
      <c r="I1126" s="63">
        <f t="shared" ca="1" si="49"/>
        <v>31.370866666666668</v>
      </c>
      <c r="J1126" s="63">
        <f t="shared" ca="1" si="49"/>
        <v>18.210533333333338</v>
      </c>
      <c r="K1126" s="63">
        <f t="shared" ca="1" si="49"/>
        <v>18.214683333333333</v>
      </c>
    </row>
    <row r="1127" spans="1:11" ht="15">
      <c r="A1127" s="3">
        <v>2092</v>
      </c>
      <c r="B1127" s="63">
        <f t="shared" ref="B1127:K1135" ca="1" si="50">AVERAGE(OFFSET(B$581,($A1127-$A$1097)*12,0,12,1))</f>
        <v>16.336183333333331</v>
      </c>
      <c r="C1127" s="63">
        <f t="shared" ca="1" si="50"/>
        <v>16.336183333333331</v>
      </c>
      <c r="D1127" s="63">
        <f t="shared" ca="1" si="50"/>
        <v>16.339558333333333</v>
      </c>
      <c r="E1127" s="63">
        <f t="shared" ca="1" si="50"/>
        <v>18.467549999999999</v>
      </c>
      <c r="F1127" s="63">
        <f t="shared" ca="1" si="50"/>
        <v>18.467549999999999</v>
      </c>
      <c r="G1127" s="63">
        <f t="shared" ca="1" si="50"/>
        <v>18.471691666666661</v>
      </c>
      <c r="H1127" s="63">
        <f t="shared" ca="1" si="50"/>
        <v>31.817750000000007</v>
      </c>
      <c r="I1127" s="63">
        <f t="shared" ca="1" si="50"/>
        <v>31.821891666666669</v>
      </c>
      <c r="J1127" s="63">
        <f t="shared" ca="1" si="50"/>
        <v>18.467549999999999</v>
      </c>
      <c r="K1127" s="63">
        <f t="shared" ca="1" si="50"/>
        <v>18.471691666666661</v>
      </c>
    </row>
    <row r="1128" spans="1:11" ht="15">
      <c r="A1128" s="3">
        <v>2093</v>
      </c>
      <c r="B1128" s="63">
        <f t="shared" ca="1" si="50"/>
        <v>16.573799999999999</v>
      </c>
      <c r="C1128" s="63">
        <f t="shared" ca="1" si="50"/>
        <v>16.573799999999999</v>
      </c>
      <c r="D1128" s="63">
        <f t="shared" ca="1" si="50"/>
        <v>16.577175</v>
      </c>
      <c r="E1128" s="63">
        <f t="shared" ca="1" si="50"/>
        <v>18.724558333333331</v>
      </c>
      <c r="F1128" s="63">
        <f t="shared" ca="1" si="50"/>
        <v>18.724558333333331</v>
      </c>
      <c r="G1128" s="63">
        <f t="shared" ca="1" si="50"/>
        <v>18.728716666666667</v>
      </c>
      <c r="H1128" s="63">
        <f t="shared" ca="1" si="50"/>
        <v>32.268808333333332</v>
      </c>
      <c r="I1128" s="63">
        <f t="shared" ca="1" si="50"/>
        <v>32.272941666666668</v>
      </c>
      <c r="J1128" s="63">
        <f t="shared" ca="1" si="50"/>
        <v>18.724558333333331</v>
      </c>
      <c r="K1128" s="63">
        <f t="shared" ca="1" si="50"/>
        <v>18.728716666666667</v>
      </c>
    </row>
    <row r="1129" spans="1:11" ht="15">
      <c r="A1129" s="3">
        <v>2094</v>
      </c>
      <c r="B1129" s="63">
        <f t="shared" ca="1" si="50"/>
        <v>16.81141666666667</v>
      </c>
      <c r="C1129" s="63">
        <f t="shared" ca="1" si="50"/>
        <v>16.81141666666667</v>
      </c>
      <c r="D1129" s="63">
        <f t="shared" ca="1" si="50"/>
        <v>16.814808333333335</v>
      </c>
      <c r="E1129" s="63">
        <f t="shared" ca="1" si="50"/>
        <v>18.981583333333333</v>
      </c>
      <c r="F1129" s="63">
        <f t="shared" ca="1" si="50"/>
        <v>18.981583333333333</v>
      </c>
      <c r="G1129" s="63">
        <f t="shared" ca="1" si="50"/>
        <v>18.985708333333331</v>
      </c>
      <c r="H1129" s="63">
        <f t="shared" ca="1" si="50"/>
        <v>32.719841666666667</v>
      </c>
      <c r="I1129" s="63">
        <f t="shared" ca="1" si="50"/>
        <v>32.723975000000003</v>
      </c>
      <c r="J1129" s="63">
        <f t="shared" ca="1" si="50"/>
        <v>18.981583333333333</v>
      </c>
      <c r="K1129" s="63">
        <f t="shared" ca="1" si="50"/>
        <v>18.985708333333331</v>
      </c>
    </row>
    <row r="1130" spans="1:11" ht="15">
      <c r="A1130" s="3">
        <v>2095</v>
      </c>
      <c r="B1130" s="63">
        <f t="shared" ca="1" si="50"/>
        <v>17.049025</v>
      </c>
      <c r="C1130" s="63">
        <f t="shared" ca="1" si="50"/>
        <v>17.049025</v>
      </c>
      <c r="D1130" s="63">
        <f t="shared" ca="1" si="50"/>
        <v>17.052408333333332</v>
      </c>
      <c r="E1130" s="63">
        <f t="shared" ca="1" si="50"/>
        <v>19.238591666666668</v>
      </c>
      <c r="F1130" s="63">
        <f t="shared" ca="1" si="50"/>
        <v>19.238591666666668</v>
      </c>
      <c r="G1130" s="63">
        <f t="shared" ca="1" si="50"/>
        <v>19.24271666666667</v>
      </c>
      <c r="H1130" s="63">
        <f t="shared" ca="1" si="50"/>
        <v>33.170858333333335</v>
      </c>
      <c r="I1130" s="63">
        <f t="shared" ca="1" si="50"/>
        <v>33.175024999999998</v>
      </c>
      <c r="J1130" s="63">
        <f t="shared" ca="1" si="50"/>
        <v>19.238591666666668</v>
      </c>
      <c r="K1130" s="63">
        <f t="shared" ca="1" si="50"/>
        <v>19.24271666666667</v>
      </c>
    </row>
    <row r="1131" spans="1:11" ht="15">
      <c r="A1131" s="3">
        <v>2096</v>
      </c>
      <c r="B1131" s="63">
        <f t="shared" ca="1" si="50"/>
        <v>17.286658333333332</v>
      </c>
      <c r="C1131" s="63">
        <f t="shared" ca="1" si="50"/>
        <v>17.286658333333332</v>
      </c>
      <c r="D1131" s="63">
        <f t="shared" ca="1" si="50"/>
        <v>17.290041666666664</v>
      </c>
      <c r="E1131" s="63">
        <f t="shared" ca="1" si="50"/>
        <v>19.49559166666667</v>
      </c>
      <c r="F1131" s="63">
        <f t="shared" ca="1" si="50"/>
        <v>19.49559166666667</v>
      </c>
      <c r="G1131" s="63">
        <f t="shared" ca="1" si="50"/>
        <v>19.499741666666665</v>
      </c>
      <c r="H1131" s="63">
        <f t="shared" ca="1" si="50"/>
        <v>33.621900000000004</v>
      </c>
      <c r="I1131" s="63">
        <f t="shared" ca="1" si="50"/>
        <v>33.626049999999999</v>
      </c>
      <c r="J1131" s="63">
        <f t="shared" ca="1" si="50"/>
        <v>19.49559166666667</v>
      </c>
      <c r="K1131" s="63">
        <f t="shared" ca="1" si="50"/>
        <v>19.499741666666665</v>
      </c>
    </row>
    <row r="1132" spans="1:11" ht="15">
      <c r="A1132" s="3">
        <v>2097</v>
      </c>
      <c r="B1132" s="63">
        <f t="shared" ca="1" si="50"/>
        <v>17.524258333333332</v>
      </c>
      <c r="C1132" s="63">
        <f t="shared" ca="1" si="50"/>
        <v>17.524258333333332</v>
      </c>
      <c r="D1132" s="63">
        <f t="shared" ca="1" si="50"/>
        <v>17.527649999999998</v>
      </c>
      <c r="E1132" s="63">
        <f t="shared" ca="1" si="50"/>
        <v>19.752591666666664</v>
      </c>
      <c r="F1132" s="63">
        <f t="shared" ca="1" si="50"/>
        <v>19.752591666666664</v>
      </c>
      <c r="G1132" s="63">
        <f t="shared" ca="1" si="50"/>
        <v>19.756733333333333</v>
      </c>
      <c r="H1132" s="63">
        <f t="shared" ca="1" si="50"/>
        <v>34.072941666666665</v>
      </c>
      <c r="I1132" s="63">
        <f t="shared" ca="1" si="50"/>
        <v>34.077083333333327</v>
      </c>
      <c r="J1132" s="63">
        <f t="shared" ca="1" si="50"/>
        <v>19.752591666666664</v>
      </c>
      <c r="K1132" s="63">
        <f t="shared" ca="1" si="50"/>
        <v>19.756733333333333</v>
      </c>
    </row>
    <row r="1133" spans="1:11" ht="15">
      <c r="A1133" s="3">
        <v>2098</v>
      </c>
      <c r="B1133" s="63">
        <f t="shared" ca="1" si="50"/>
        <v>17.761866666666666</v>
      </c>
      <c r="C1133" s="63">
        <f t="shared" ca="1" si="50"/>
        <v>17.761866666666666</v>
      </c>
      <c r="D1133" s="63">
        <f t="shared" ca="1" si="50"/>
        <v>17.765241666666668</v>
      </c>
      <c r="E1133" s="63">
        <f t="shared" ca="1" si="50"/>
        <v>20.009608333333329</v>
      </c>
      <c r="F1133" s="63">
        <f t="shared" ca="1" si="50"/>
        <v>20.009608333333329</v>
      </c>
      <c r="G1133" s="63">
        <f t="shared" ca="1" si="50"/>
        <v>20.013758333333332</v>
      </c>
      <c r="H1133" s="63">
        <f t="shared" ca="1" si="50"/>
        <v>34.523975</v>
      </c>
      <c r="I1133" s="63">
        <f t="shared" ca="1" si="50"/>
        <v>34.528133333333329</v>
      </c>
      <c r="J1133" s="63">
        <f t="shared" ca="1" si="50"/>
        <v>20.009608333333329</v>
      </c>
      <c r="K1133" s="63">
        <f t="shared" ca="1" si="50"/>
        <v>20.013758333333332</v>
      </c>
    </row>
    <row r="1134" spans="1:11" ht="15">
      <c r="A1134" s="3">
        <v>2099</v>
      </c>
      <c r="B1134" s="63">
        <f t="shared" ca="1" si="50"/>
        <v>17.999491666666668</v>
      </c>
      <c r="C1134" s="63">
        <f t="shared" ca="1" si="50"/>
        <v>17.999491666666668</v>
      </c>
      <c r="D1134" s="63">
        <f t="shared" ca="1" si="50"/>
        <v>18.002866666666666</v>
      </c>
      <c r="E1134" s="63">
        <f t="shared" ca="1" si="50"/>
        <v>20.266633333333331</v>
      </c>
      <c r="F1134" s="63">
        <f t="shared" ca="1" si="50"/>
        <v>20.266633333333331</v>
      </c>
      <c r="G1134" s="63">
        <f t="shared" ca="1" si="50"/>
        <v>20.270750000000003</v>
      </c>
      <c r="H1134" s="63">
        <f t="shared" ca="1" si="50"/>
        <v>34.975008333333335</v>
      </c>
      <c r="I1134" s="63">
        <f t="shared" ca="1" si="50"/>
        <v>34.979166666666664</v>
      </c>
      <c r="J1134" s="63">
        <f t="shared" ca="1" si="50"/>
        <v>20.266633333333331</v>
      </c>
      <c r="K1134" s="63">
        <f t="shared" ca="1" si="50"/>
        <v>20.270750000000003</v>
      </c>
    </row>
    <row r="1135" spans="1:11" ht="15">
      <c r="A1135" s="3">
        <v>2100</v>
      </c>
      <c r="B1135" s="63">
        <f t="shared" ca="1" si="50"/>
        <v>18.237108333333328</v>
      </c>
      <c r="C1135" s="63">
        <f t="shared" ca="1" si="50"/>
        <v>18.237108333333328</v>
      </c>
      <c r="D1135" s="63">
        <f t="shared" ca="1" si="50"/>
        <v>18.240491666666667</v>
      </c>
      <c r="E1135" s="63">
        <f t="shared" ca="1" si="50"/>
        <v>20.523624999999999</v>
      </c>
      <c r="F1135" s="63">
        <f t="shared" ca="1" si="50"/>
        <v>20.523624999999999</v>
      </c>
      <c r="G1135" s="63">
        <f t="shared" ca="1" si="50"/>
        <v>20.527774999999995</v>
      </c>
      <c r="H1135" s="63">
        <f t="shared" ca="1" si="50"/>
        <v>35.426049999999996</v>
      </c>
      <c r="I1135" s="63">
        <f t="shared" ca="1" si="50"/>
        <v>35.430174999999991</v>
      </c>
      <c r="J1135" s="63">
        <f t="shared" ca="1" si="50"/>
        <v>20.523624999999999</v>
      </c>
      <c r="K1135" s="63">
        <f t="shared" ca="1" si="50"/>
        <v>20.527774999999995</v>
      </c>
    </row>
  </sheetData>
  <mergeCells count="7">
    <mergeCell ref="B14:D14"/>
    <mergeCell ref="L14:M14"/>
    <mergeCell ref="N14:O14"/>
    <mergeCell ref="L13:O13"/>
    <mergeCell ref="E14:G14"/>
    <mergeCell ref="J14:K14"/>
    <mergeCell ref="H14:I14"/>
  </mergeCells>
  <pageMargins left="0.25" right="0.25" top="0.5" bottom="0.5" header="0.25" footer="0.25"/>
  <pageSetup paperSize="119" orientation="landscape" horizontalDpi="1200" verticalDpi="1200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381000</xdr:colOff>
                    <xdr:row>12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37"/>
  <sheetViews>
    <sheetView showGridLines="0" topLeftCell="A4" zoomScale="70" zoomScaleNormal="70" workbookViewId="0">
      <selection activeCell="A7" sqref="A7"/>
    </sheetView>
  </sheetViews>
  <sheetFormatPr defaultColWidth="8.88671875" defaultRowHeight="15.75"/>
  <cols>
    <col min="1" max="1" width="8.88671875" style="76"/>
    <col min="2" max="2" width="15.5546875" style="76" bestFit="1" customWidth="1"/>
    <col min="3" max="3" width="9.5546875" style="76" bestFit="1" customWidth="1"/>
    <col min="4" max="16384" width="8.88671875" style="76"/>
  </cols>
  <sheetData>
    <row r="1" spans="1:3">
      <c r="A1" s="84" t="s">
        <v>64</v>
      </c>
    </row>
    <row r="2" spans="1:3">
      <c r="A2" s="84" t="s">
        <v>65</v>
      </c>
    </row>
    <row r="3" spans="1:3">
      <c r="A3" s="84" t="s">
        <v>66</v>
      </c>
    </row>
    <row r="4" spans="1:3">
      <c r="A4" s="84" t="s">
        <v>67</v>
      </c>
    </row>
    <row r="5" spans="1:3">
      <c r="A5" s="84" t="s">
        <v>69</v>
      </c>
    </row>
    <row r="6" spans="1:3">
      <c r="A6" s="84" t="s">
        <v>71</v>
      </c>
    </row>
    <row r="8" spans="1:3">
      <c r="B8" s="81" t="s">
        <v>63</v>
      </c>
      <c r="C8" s="81" t="s">
        <v>54</v>
      </c>
    </row>
    <row r="9" spans="1:3">
      <c r="B9" s="83" t="s">
        <v>61</v>
      </c>
      <c r="C9" s="93">
        <v>2</v>
      </c>
    </row>
    <row r="10" spans="1:3">
      <c r="B10" s="83" t="s">
        <v>60</v>
      </c>
      <c r="C10" s="95"/>
    </row>
    <row r="11" spans="1:3">
      <c r="B11" s="82" t="s">
        <v>59</v>
      </c>
      <c r="C11" s="94"/>
    </row>
    <row r="14" spans="1:3">
      <c r="B14" s="81" t="s">
        <v>55</v>
      </c>
      <c r="C14" s="81" t="s">
        <v>54</v>
      </c>
    </row>
    <row r="15" spans="1:3">
      <c r="B15" s="83" t="s">
        <v>61</v>
      </c>
      <c r="C15" s="93">
        <v>2</v>
      </c>
    </row>
    <row r="16" spans="1:3">
      <c r="B16" s="83" t="s">
        <v>60</v>
      </c>
      <c r="C16" s="95"/>
    </row>
    <row r="17" spans="2:3">
      <c r="B17" s="82" t="s">
        <v>59</v>
      </c>
      <c r="C17" s="94"/>
    </row>
    <row r="21" spans="2:3">
      <c r="B21" s="81" t="s">
        <v>62</v>
      </c>
      <c r="C21" s="81" t="s">
        <v>54</v>
      </c>
    </row>
    <row r="22" spans="2:3">
      <c r="B22" s="83" t="s">
        <v>61</v>
      </c>
      <c r="C22" s="93">
        <v>2</v>
      </c>
    </row>
    <row r="23" spans="2:3">
      <c r="B23" s="83" t="s">
        <v>60</v>
      </c>
      <c r="C23" s="95"/>
    </row>
    <row r="24" spans="2:3">
      <c r="B24" s="82" t="s">
        <v>59</v>
      </c>
      <c r="C24" s="94"/>
    </row>
    <row r="27" spans="2:3">
      <c r="B27" s="81" t="s">
        <v>58</v>
      </c>
      <c r="C27" s="81" t="s">
        <v>54</v>
      </c>
    </row>
    <row r="28" spans="2:3">
      <c r="B28" s="80" t="s">
        <v>57</v>
      </c>
      <c r="C28" s="93">
        <v>1</v>
      </c>
    </row>
    <row r="29" spans="2:3">
      <c r="B29" s="79" t="s">
        <v>56</v>
      </c>
      <c r="C29" s="94"/>
    </row>
    <row r="31" spans="2:3">
      <c r="B31" s="81" t="s">
        <v>55</v>
      </c>
      <c r="C31" s="81" t="s">
        <v>54</v>
      </c>
    </row>
    <row r="32" spans="2:3">
      <c r="B32" s="80" t="s">
        <v>53</v>
      </c>
      <c r="C32" s="93">
        <v>1</v>
      </c>
    </row>
    <row r="33" spans="2:5">
      <c r="B33" s="79" t="s">
        <v>52</v>
      </c>
      <c r="C33" s="94"/>
    </row>
    <row r="37" spans="2:5">
      <c r="C37" s="78"/>
      <c r="E37" s="77"/>
    </row>
  </sheetData>
  <mergeCells count="5">
    <mergeCell ref="C32:C33"/>
    <mergeCell ref="C22:C24"/>
    <mergeCell ref="C28:C29"/>
    <mergeCell ref="C9:C11"/>
    <mergeCell ref="C15:C17"/>
  </mergeCells>
  <pageMargins left="0.25" right="0.25" top="0.5" bottom="0.5" header="0.25" footer="0.25"/>
  <pageSetup orientation="portrait" horizontalDpi="1200" verticalDpi="1200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RAP-NATURAL GAS PRICES</vt:lpstr>
      <vt:lpstr>RAP TEMPLATE-GAS AVAILABILITY</vt:lpstr>
      <vt:lpstr>RAP-HEAVY &amp; LIGHT OIL &amp; WTI</vt:lpstr>
      <vt:lpstr>RAP-SOLID FUEL PRICES</vt:lpstr>
      <vt:lpstr>CONTROL</vt:lpstr>
      <vt:lpstr>'RAP TEMPLATE-GAS AVAILABILITY'!Print_Area</vt:lpstr>
      <vt:lpstr>'RAP-HEAVY &amp; LIGHT OIL &amp; WTI'!Print_Area</vt:lpstr>
      <vt:lpstr>'RAP-NATURAL GAS PRICES'!Print_Area</vt:lpstr>
      <vt:lpstr>'RAP-SOLID FUEL PRICES'!Print_Area</vt:lpstr>
      <vt:lpstr>'RAP TEMPLATE-GAS AVAILABILITY'!Print_Titles</vt:lpstr>
      <vt:lpstr>'RAP-HEAVY &amp; LIGHT OIL &amp; WTI'!Print_Titles</vt:lpstr>
      <vt:lpstr>'RAP-NATURAL GAS PRICES'!Print_Titles</vt:lpstr>
      <vt:lpstr>'RAP-SOLID FUEL PRICES'!Print_Titles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2016-07-29T16:29:43Z</dcterms:created>
  <dcterms:modified xsi:type="dcterms:W3CDTF">2016-07-29T16:29:49Z</dcterms:modified>
</cp:coreProperties>
</file>